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จาก HP 16 ตค 60\งาน สบย\งานแอน\งานกลุ่มนโยบายและแผน\การจัดทำงบประมาณปี 2562\ปรับลดวงเงิน 10 เม.ย.61\แบบฟอร์มลงเว็บ ข้อมูลประกอบวาระ 1 17 เม.ย.61\ตารางสรุปค่าใช้จ่าย\"/>
    </mc:Choice>
  </mc:AlternateContent>
  <xr:revisionPtr revIDLastSave="0" documentId="8_{B5BB4FF4-D18D-4FBB-8CA7-38DF28CD2AAF}" xr6:coauthVersionLast="31" xr6:coauthVersionMax="31" xr10:uidLastSave="{00000000-0000-0000-0000-000000000000}"/>
  <bookViews>
    <workbookView xWindow="0" yWindow="0" windowWidth="15345" windowHeight="4470" activeTab="1" xr2:uid="{00000000-000D-0000-FFFF-FFFF00000000}"/>
  </bookViews>
  <sheets>
    <sheet name="1" sheetId="1" r:id="rId1"/>
    <sheet name="2.1" sheetId="5" r:id="rId2"/>
    <sheet name="2.2" sheetId="6" r:id="rId3"/>
    <sheet name="2.3" sheetId="7" r:id="rId4"/>
    <sheet name="2.4" sheetId="8" r:id="rId5"/>
    <sheet name="2.5" sheetId="9" r:id="rId6"/>
    <sheet name="3.1" sheetId="3" r:id="rId7"/>
    <sheet name="3.2" sheetId="4" r:id="rId8"/>
    <sheet name="3.3" sheetId="10" r:id="rId9"/>
    <sheet name="3.4" sheetId="11" r:id="rId10"/>
    <sheet name="3.5" sheetId="12" r:id="rId11"/>
    <sheet name="3.6" sheetId="13" r:id="rId12"/>
    <sheet name="4.2" sheetId="18" r:id="rId13"/>
    <sheet name="4.3" sheetId="19" r:id="rId14"/>
    <sheet name="4.4.1" sheetId="20" r:id="rId15"/>
    <sheet name="4.4.2" sheetId="21" r:id="rId16"/>
    <sheet name="4.5.4" sheetId="25" r:id="rId17"/>
    <sheet name="5.1.1" sheetId="26" r:id="rId18"/>
  </sheets>
  <externalReferences>
    <externalReference r:id="rId19"/>
  </externalReferences>
  <definedNames>
    <definedName name="________________________end001">#REF!</definedName>
    <definedName name="______________________end001">#REF!</definedName>
    <definedName name="_____________________end001">#REF!</definedName>
    <definedName name="____________________ddd1">#REF!</definedName>
    <definedName name="____________________ddd10">#REF!</definedName>
    <definedName name="____________________ddd11">#REF!</definedName>
    <definedName name="____________________ddd12">#REF!</definedName>
    <definedName name="____________________ddd15">#REF!</definedName>
    <definedName name="____________________ddd2">#REF!</definedName>
    <definedName name="____________________ddd22">#REF!</definedName>
    <definedName name="____________________ddd23">#REF!</definedName>
    <definedName name="____________________ddd3">#REF!</definedName>
    <definedName name="____________________ddd5">#REF!</definedName>
    <definedName name="____________________ddd6">#REF!</definedName>
    <definedName name="____________________ddd8">#REF!</definedName>
    <definedName name="____________________ddd9">#REF!</definedName>
    <definedName name="____________________end001">#REF!</definedName>
    <definedName name="____________________end01">#REF!</definedName>
    <definedName name="___________________ddd1">#REF!</definedName>
    <definedName name="___________________ddd10">#REF!</definedName>
    <definedName name="___________________ddd11">#REF!</definedName>
    <definedName name="___________________ddd12">#REF!</definedName>
    <definedName name="___________________ddd15">#REF!</definedName>
    <definedName name="___________________ddd2">#REF!</definedName>
    <definedName name="___________________ddd22">#REF!</definedName>
    <definedName name="___________________ddd23">#REF!</definedName>
    <definedName name="___________________ddd3">#REF!</definedName>
    <definedName name="___________________ddd5">#REF!</definedName>
    <definedName name="___________________ddd6">#REF!</definedName>
    <definedName name="___________________ddd8">#REF!</definedName>
    <definedName name="___________________ddd9">#REF!</definedName>
    <definedName name="___________________end001">#REF!</definedName>
    <definedName name="___________________end01">#REF!</definedName>
    <definedName name="__________________ddd1">#REF!</definedName>
    <definedName name="__________________ddd10">#REF!</definedName>
    <definedName name="__________________ddd11">#REF!</definedName>
    <definedName name="__________________ddd12">#REF!</definedName>
    <definedName name="__________________ddd15">#REF!</definedName>
    <definedName name="__________________ddd2">#REF!</definedName>
    <definedName name="__________________ddd22">#REF!</definedName>
    <definedName name="__________________ddd23">#REF!</definedName>
    <definedName name="__________________ddd3">#REF!</definedName>
    <definedName name="__________________ddd5">#REF!</definedName>
    <definedName name="__________________ddd6">#REF!</definedName>
    <definedName name="__________________ddd8">#REF!</definedName>
    <definedName name="__________________ddd9">#REF!</definedName>
    <definedName name="__________________end001">#REF!</definedName>
    <definedName name="__________________end01">#REF!</definedName>
    <definedName name="_________________ddd1">#REF!</definedName>
    <definedName name="_________________ddd10">#REF!</definedName>
    <definedName name="_________________ddd11">#REF!</definedName>
    <definedName name="_________________ddd12">#REF!</definedName>
    <definedName name="_________________ddd15">#REF!</definedName>
    <definedName name="_________________ddd2">#REF!</definedName>
    <definedName name="_________________ddd22">#REF!</definedName>
    <definedName name="_________________ddd23">#REF!</definedName>
    <definedName name="_________________ddd3">#REF!</definedName>
    <definedName name="_________________ddd5">#REF!</definedName>
    <definedName name="_________________ddd6">#REF!</definedName>
    <definedName name="_________________ddd8">#REF!</definedName>
    <definedName name="_________________ddd9">#REF!</definedName>
    <definedName name="_________________end001">#REF!</definedName>
    <definedName name="_________________end01">#REF!</definedName>
    <definedName name="________________ddd1">#REF!</definedName>
    <definedName name="________________ddd10">#REF!</definedName>
    <definedName name="________________ddd11">#REF!</definedName>
    <definedName name="________________ddd12">#REF!</definedName>
    <definedName name="________________ddd15">#REF!</definedName>
    <definedName name="________________ddd2">#REF!</definedName>
    <definedName name="________________ddd22">#REF!</definedName>
    <definedName name="________________ddd23">#REF!</definedName>
    <definedName name="________________ddd3">#REF!</definedName>
    <definedName name="________________ddd5">#REF!</definedName>
    <definedName name="________________ddd6">#REF!</definedName>
    <definedName name="________________ddd8">#REF!</definedName>
    <definedName name="________________ddd9">#REF!</definedName>
    <definedName name="________________end001">#REF!</definedName>
    <definedName name="________________end01">#REF!</definedName>
    <definedName name="_______________ddd1">#REF!</definedName>
    <definedName name="_______________ddd10">#REF!</definedName>
    <definedName name="_______________ddd11">#REF!</definedName>
    <definedName name="_______________ddd12">#REF!</definedName>
    <definedName name="_______________ddd15">#REF!</definedName>
    <definedName name="_______________ddd2">#REF!</definedName>
    <definedName name="_______________ddd22">#REF!</definedName>
    <definedName name="_______________ddd23">#REF!</definedName>
    <definedName name="_______________ddd3">#REF!</definedName>
    <definedName name="_______________ddd5">#REF!</definedName>
    <definedName name="_______________ddd6">#REF!</definedName>
    <definedName name="_______________ddd8">#REF!</definedName>
    <definedName name="_______________ddd9">#REF!</definedName>
    <definedName name="_______________end001">#REF!</definedName>
    <definedName name="_______________end01">#REF!</definedName>
    <definedName name="______________ddd1">#REF!</definedName>
    <definedName name="______________ddd10">#REF!</definedName>
    <definedName name="______________ddd11">#REF!</definedName>
    <definedName name="______________ddd12">#REF!</definedName>
    <definedName name="______________ddd15">#REF!</definedName>
    <definedName name="______________ddd2">#REF!</definedName>
    <definedName name="______________ddd22">#REF!</definedName>
    <definedName name="______________ddd23">#REF!</definedName>
    <definedName name="______________ddd3">#REF!</definedName>
    <definedName name="______________ddd5">#REF!</definedName>
    <definedName name="______________ddd6">#REF!</definedName>
    <definedName name="______________ddd8">#REF!</definedName>
    <definedName name="______________ddd9">#REF!</definedName>
    <definedName name="______________end001">#REF!</definedName>
    <definedName name="______________end01">#REF!</definedName>
    <definedName name="_____________ddd1">#REF!</definedName>
    <definedName name="_____________ddd10">#REF!</definedName>
    <definedName name="_____________ddd11">#REF!</definedName>
    <definedName name="_____________ddd12">#REF!</definedName>
    <definedName name="_____________ddd15">#REF!</definedName>
    <definedName name="_____________ddd2">#REF!</definedName>
    <definedName name="_____________ddd22">#REF!</definedName>
    <definedName name="_____________ddd23">#REF!</definedName>
    <definedName name="_____________ddd3">#REF!</definedName>
    <definedName name="_____________ddd5">#REF!</definedName>
    <definedName name="_____________ddd6">#REF!</definedName>
    <definedName name="_____________ddd8">#REF!</definedName>
    <definedName name="_____________ddd9">#REF!</definedName>
    <definedName name="_____________end001">#REF!</definedName>
    <definedName name="_____________end01">#REF!</definedName>
    <definedName name="____________ddd1">#REF!</definedName>
    <definedName name="____________ddd10">#REF!</definedName>
    <definedName name="____________ddd11">#REF!</definedName>
    <definedName name="____________ddd12">#REF!</definedName>
    <definedName name="____________ddd15">#REF!</definedName>
    <definedName name="____________ddd2">#REF!</definedName>
    <definedName name="____________ddd22">#REF!</definedName>
    <definedName name="____________ddd23">#REF!</definedName>
    <definedName name="____________ddd3">#REF!</definedName>
    <definedName name="____________ddd5">#REF!</definedName>
    <definedName name="____________ddd6">#REF!</definedName>
    <definedName name="____________ddd8">#REF!</definedName>
    <definedName name="____________ddd9">#REF!</definedName>
    <definedName name="____________end001">#REF!</definedName>
    <definedName name="____________end01">#REF!</definedName>
    <definedName name="___________ddd1">#REF!</definedName>
    <definedName name="___________ddd10">#REF!</definedName>
    <definedName name="___________ddd11">#REF!</definedName>
    <definedName name="___________ddd12">#REF!</definedName>
    <definedName name="___________ddd15">#REF!</definedName>
    <definedName name="___________ddd2">#REF!</definedName>
    <definedName name="___________ddd22">#REF!</definedName>
    <definedName name="___________ddd23">#REF!</definedName>
    <definedName name="___________ddd3">#REF!</definedName>
    <definedName name="___________ddd5">#REF!</definedName>
    <definedName name="___________ddd6">#REF!</definedName>
    <definedName name="___________ddd8">#REF!</definedName>
    <definedName name="___________ddd9">#REF!</definedName>
    <definedName name="___________end001">#REF!</definedName>
    <definedName name="___________end01">#REF!</definedName>
    <definedName name="__________ddd1">#REF!</definedName>
    <definedName name="__________ddd10">#REF!</definedName>
    <definedName name="__________ddd11">#REF!</definedName>
    <definedName name="__________ddd12">#REF!</definedName>
    <definedName name="__________ddd15">#REF!</definedName>
    <definedName name="__________ddd2">#REF!</definedName>
    <definedName name="__________ddd22">#REF!</definedName>
    <definedName name="__________ddd23">#REF!</definedName>
    <definedName name="__________ddd3">#REF!</definedName>
    <definedName name="__________ddd5">#REF!</definedName>
    <definedName name="__________ddd6">#REF!</definedName>
    <definedName name="__________ddd8">#REF!</definedName>
    <definedName name="__________ddd9">#REF!</definedName>
    <definedName name="__________end001">#REF!</definedName>
    <definedName name="__________end01">#REF!</definedName>
    <definedName name="_________ddd1">#REF!</definedName>
    <definedName name="_________ddd10">#REF!</definedName>
    <definedName name="_________ddd11">#REF!</definedName>
    <definedName name="_________ddd12">#REF!</definedName>
    <definedName name="_________ddd15">#REF!</definedName>
    <definedName name="_________ddd2">#REF!</definedName>
    <definedName name="_________ddd22">#REF!</definedName>
    <definedName name="_________ddd23">#REF!</definedName>
    <definedName name="_________ddd3">#REF!</definedName>
    <definedName name="_________ddd5">#REF!</definedName>
    <definedName name="_________ddd6">#REF!</definedName>
    <definedName name="_________ddd8">#REF!</definedName>
    <definedName name="_________ddd9">#REF!</definedName>
    <definedName name="_________end01">#REF!</definedName>
    <definedName name="________ddd1">#REF!</definedName>
    <definedName name="________ddd10">#REF!</definedName>
    <definedName name="________ddd11">#REF!</definedName>
    <definedName name="________ddd12">#REF!</definedName>
    <definedName name="________ddd15">#REF!</definedName>
    <definedName name="________ddd2">#REF!</definedName>
    <definedName name="________ddd22">#REF!</definedName>
    <definedName name="________ddd23">#REF!</definedName>
    <definedName name="________ddd3">#REF!</definedName>
    <definedName name="________ddd5">#REF!</definedName>
    <definedName name="________ddd6">#REF!</definedName>
    <definedName name="________ddd8">#REF!</definedName>
    <definedName name="________ddd9">#REF!</definedName>
    <definedName name="________end001">#REF!</definedName>
    <definedName name="________end01">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1">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1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AAA">#REF!</definedName>
    <definedName name="AAA0">#REF!</definedName>
    <definedName name="AAA00">#REF!</definedName>
    <definedName name="AAA000">#REF!</definedName>
    <definedName name="dep">#REF!</definedName>
    <definedName name="drop1">#REF!</definedName>
    <definedName name="end">#REF!</definedName>
    <definedName name="END000">#REF!</definedName>
    <definedName name="_xlnm.Print_Titles" localSheetId="0">'1'!$3:$4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ปชส">#REF!</definedName>
    <definedName name="ผลงาน">#REF!</definedName>
    <definedName name="อบรมม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I17" i="26" l="1"/>
  <c r="I18" i="26"/>
  <c r="I19" i="26"/>
  <c r="I20" i="26"/>
  <c r="I21" i="26"/>
  <c r="I22" i="26"/>
  <c r="I25" i="26"/>
  <c r="I26" i="26"/>
  <c r="I27" i="26"/>
  <c r="I28" i="26"/>
  <c r="I31" i="26"/>
  <c r="I33" i="26"/>
  <c r="I34" i="26"/>
  <c r="I35" i="26"/>
  <c r="I36" i="26"/>
  <c r="I37" i="26"/>
  <c r="I38" i="26"/>
  <c r="I39" i="26"/>
  <c r="I40" i="26"/>
  <c r="I41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60" i="26"/>
  <c r="I61" i="26"/>
  <c r="I62" i="26"/>
  <c r="I64" i="26"/>
  <c r="I65" i="26"/>
  <c r="I66" i="26"/>
  <c r="C12" i="25"/>
  <c r="C4" i="25" s="1"/>
  <c r="G52" i="21"/>
  <c r="G51" i="21"/>
  <c r="G50" i="21"/>
  <c r="G49" i="21"/>
  <c r="G48" i="21"/>
  <c r="G47" i="21"/>
  <c r="G45" i="21"/>
  <c r="G44" i="21"/>
  <c r="G43" i="21"/>
  <c r="G42" i="21"/>
  <c r="G41" i="21"/>
  <c r="G40" i="21"/>
  <c r="G37" i="21"/>
  <c r="G36" i="21"/>
  <c r="G35" i="21"/>
  <c r="G34" i="21"/>
  <c r="G31" i="21"/>
  <c r="G30" i="21"/>
  <c r="G28" i="21"/>
  <c r="G27" i="21"/>
  <c r="G26" i="21"/>
  <c r="G25" i="21"/>
  <c r="G23" i="21"/>
  <c r="G20" i="21"/>
  <c r="G19" i="21"/>
  <c r="G18" i="21"/>
  <c r="G14" i="21"/>
  <c r="G13" i="21"/>
  <c r="G11" i="21"/>
  <c r="G10" i="21"/>
  <c r="G9" i="21"/>
  <c r="G33" i="21" l="1"/>
  <c r="G39" i="21"/>
  <c r="G46" i="21"/>
  <c r="G24" i="21"/>
  <c r="G8" i="21"/>
  <c r="G17" i="21"/>
  <c r="G29" i="21"/>
  <c r="G12" i="21"/>
  <c r="G15" i="21" l="1"/>
  <c r="G38" i="21"/>
  <c r="G7" i="21"/>
  <c r="G6" i="21" l="1"/>
  <c r="K1" i="19" l="1"/>
  <c r="K37" i="19"/>
  <c r="G50" i="20" l="1"/>
  <c r="G49" i="20"/>
  <c r="G48" i="20"/>
  <c r="G47" i="20"/>
  <c r="G46" i="20"/>
  <c r="G45" i="20"/>
  <c r="G43" i="20"/>
  <c r="G42" i="20"/>
  <c r="G41" i="20"/>
  <c r="G40" i="20"/>
  <c r="G39" i="20"/>
  <c r="G38" i="20"/>
  <c r="G35" i="20"/>
  <c r="G34" i="20"/>
  <c r="G33" i="20"/>
  <c r="G32" i="20"/>
  <c r="G29" i="20"/>
  <c r="G28" i="20"/>
  <c r="G26" i="20"/>
  <c r="G25" i="20"/>
  <c r="G24" i="20"/>
  <c r="G23" i="20"/>
  <c r="G21" i="20"/>
  <c r="G18" i="20"/>
  <c r="G17" i="20"/>
  <c r="G16" i="20"/>
  <c r="G12" i="20"/>
  <c r="G11" i="20"/>
  <c r="G9" i="20"/>
  <c r="G8" i="20"/>
  <c r="G7" i="20"/>
  <c r="K430" i="19"/>
  <c r="K429" i="19"/>
  <c r="K428" i="19"/>
  <c r="K427" i="19"/>
  <c r="K425" i="19" s="1"/>
  <c r="K426" i="19"/>
  <c r="J424" i="19"/>
  <c r="K424" i="19" s="1"/>
  <c r="K423" i="19"/>
  <c r="J422" i="19"/>
  <c r="K422" i="19" s="1"/>
  <c r="J421" i="19"/>
  <c r="K421" i="19" s="1"/>
  <c r="J420" i="19"/>
  <c r="K420" i="19" s="1"/>
  <c r="J419" i="19"/>
  <c r="K419" i="19" s="1"/>
  <c r="J418" i="19"/>
  <c r="K418" i="19" s="1"/>
  <c r="J416" i="19"/>
  <c r="K416" i="19" s="1"/>
  <c r="K415" i="19"/>
  <c r="J414" i="19"/>
  <c r="K414" i="19" s="1"/>
  <c r="J413" i="19"/>
  <c r="K413" i="19" s="1"/>
  <c r="J412" i="19"/>
  <c r="K412" i="19" s="1"/>
  <c r="J411" i="19"/>
  <c r="K411" i="19" s="1"/>
  <c r="J410" i="19"/>
  <c r="K410" i="19" s="1"/>
  <c r="J408" i="19"/>
  <c r="K408" i="19" s="1"/>
  <c r="K407" i="19"/>
  <c r="J406" i="19"/>
  <c r="K406" i="19" s="1"/>
  <c r="J405" i="19"/>
  <c r="K405" i="19" s="1"/>
  <c r="J404" i="19"/>
  <c r="K404" i="19" s="1"/>
  <c r="J403" i="19"/>
  <c r="K403" i="19" s="1"/>
  <c r="J402" i="19"/>
  <c r="K402" i="19" s="1"/>
  <c r="J399" i="19"/>
  <c r="K399" i="19" s="1"/>
  <c r="J398" i="19"/>
  <c r="K398" i="19" s="1"/>
  <c r="J397" i="19"/>
  <c r="K397" i="19" s="1"/>
  <c r="J396" i="19"/>
  <c r="K396" i="19" s="1"/>
  <c r="K395" i="19"/>
  <c r="K393" i="19"/>
  <c r="K392" i="19"/>
  <c r="K389" i="19"/>
  <c r="K388" i="19"/>
  <c r="K380" i="19"/>
  <c r="K379" i="19"/>
  <c r="K378" i="19"/>
  <c r="J377" i="19"/>
  <c r="K377" i="19" s="1"/>
  <c r="K376" i="19"/>
  <c r="K373" i="19"/>
  <c r="K372" i="19"/>
  <c r="K371" i="19"/>
  <c r="J370" i="19"/>
  <c r="K370" i="19" s="1"/>
  <c r="K369" i="19"/>
  <c r="K366" i="19"/>
  <c r="K365" i="19"/>
  <c r="K364" i="19"/>
  <c r="J363" i="19"/>
  <c r="K363" i="19" s="1"/>
  <c r="K362" i="19"/>
  <c r="K359" i="19"/>
  <c r="K358" i="19"/>
  <c r="K357" i="19"/>
  <c r="K356" i="19"/>
  <c r="K355" i="19"/>
  <c r="K353" i="19"/>
  <c r="K352" i="19"/>
  <c r="K351" i="19"/>
  <c r="K350" i="19"/>
  <c r="K348" i="19"/>
  <c r="K347" i="19"/>
  <c r="K346" i="19"/>
  <c r="K345" i="19"/>
  <c r="K344" i="19"/>
  <c r="J343" i="19"/>
  <c r="K343" i="19" s="1"/>
  <c r="K342" i="19"/>
  <c r="K340" i="19"/>
  <c r="K339" i="19"/>
  <c r="K338" i="19"/>
  <c r="K337" i="19"/>
  <c r="K335" i="19"/>
  <c r="K334" i="19"/>
  <c r="J333" i="19"/>
  <c r="K333" i="19" s="1"/>
  <c r="K332" i="19"/>
  <c r="K331" i="19"/>
  <c r="K330" i="19"/>
  <c r="K329" i="19"/>
  <c r="K326" i="19"/>
  <c r="K325" i="19" s="1"/>
  <c r="K321" i="19"/>
  <c r="K320" i="19"/>
  <c r="K319" i="19"/>
  <c r="K318" i="19"/>
  <c r="K317" i="19"/>
  <c r="K315" i="19"/>
  <c r="K314" i="19"/>
  <c r="K313" i="19"/>
  <c r="K311" i="19"/>
  <c r="K310" i="19"/>
  <c r="K309" i="19"/>
  <c r="K308" i="19"/>
  <c r="K306" i="19"/>
  <c r="K305" i="19"/>
  <c r="K304" i="19"/>
  <c r="K303" i="19"/>
  <c r="K302" i="19"/>
  <c r="K301" i="19"/>
  <c r="K296" i="19"/>
  <c r="K295" i="19"/>
  <c r="K294" i="19"/>
  <c r="K293" i="19"/>
  <c r="K292" i="19"/>
  <c r="K290" i="19"/>
  <c r="K289" i="19"/>
  <c r="K288" i="19"/>
  <c r="K287" i="19"/>
  <c r="K286" i="19"/>
  <c r="K285" i="19"/>
  <c r="K284" i="19"/>
  <c r="K283" i="19"/>
  <c r="K281" i="19"/>
  <c r="K280" i="19"/>
  <c r="K279" i="19"/>
  <c r="K277" i="19"/>
  <c r="K276" i="19"/>
  <c r="K275" i="19"/>
  <c r="K273" i="19"/>
  <c r="K272" i="19"/>
  <c r="K271" i="19"/>
  <c r="K270" i="19"/>
  <c r="K269" i="19"/>
  <c r="K268" i="19"/>
  <c r="K267" i="19"/>
  <c r="K264" i="19"/>
  <c r="K263" i="19"/>
  <c r="K262" i="19"/>
  <c r="K261" i="19"/>
  <c r="K260" i="19"/>
  <c r="K259" i="19"/>
  <c r="K258" i="19"/>
  <c r="K254" i="19"/>
  <c r="K253" i="19"/>
  <c r="K252" i="19"/>
  <c r="K251" i="19"/>
  <c r="K250" i="19"/>
  <c r="K248" i="19"/>
  <c r="K247" i="19"/>
  <c r="K246" i="19"/>
  <c r="K245" i="19"/>
  <c r="K244" i="19"/>
  <c r="K243" i="19"/>
  <c r="K242" i="19"/>
  <c r="K239" i="19"/>
  <c r="K238" i="19"/>
  <c r="K237" i="19"/>
  <c r="K234" i="19"/>
  <c r="K233" i="19"/>
  <c r="K232" i="19"/>
  <c r="K231" i="19"/>
  <c r="K230" i="19"/>
  <c r="K229" i="19"/>
  <c r="K227" i="19"/>
  <c r="K224" i="19"/>
  <c r="K223" i="19"/>
  <c r="K222" i="19"/>
  <c r="K221" i="19"/>
  <c r="K220" i="19"/>
  <c r="K219" i="19" s="1"/>
  <c r="K215" i="19"/>
  <c r="K214" i="19"/>
  <c r="K213" i="19"/>
  <c r="K212" i="19"/>
  <c r="K211" i="19"/>
  <c r="K210" i="19"/>
  <c r="K209" i="19"/>
  <c r="K208" i="19"/>
  <c r="K207" i="19"/>
  <c r="K206" i="19"/>
  <c r="K205" i="19"/>
  <c r="K203" i="19"/>
  <c r="K202" i="19"/>
  <c r="K201" i="19"/>
  <c r="K200" i="19"/>
  <c r="K199" i="19"/>
  <c r="K198" i="19"/>
  <c r="K197" i="19"/>
  <c r="K196" i="19"/>
  <c r="K195" i="19"/>
  <c r="K194" i="19"/>
  <c r="K193" i="19"/>
  <c r="K190" i="19"/>
  <c r="K189" i="19"/>
  <c r="K188" i="19"/>
  <c r="K187" i="19"/>
  <c r="K185" i="19"/>
  <c r="K184" i="19"/>
  <c r="K183" i="19"/>
  <c r="K182" i="19"/>
  <c r="K181" i="19"/>
  <c r="K178" i="19"/>
  <c r="K177" i="19" s="1"/>
  <c r="K176" i="19"/>
  <c r="K175" i="19"/>
  <c r="K174" i="19"/>
  <c r="K173" i="19"/>
  <c r="K172" i="19"/>
  <c r="K170" i="19"/>
  <c r="K169" i="19"/>
  <c r="K167" i="19"/>
  <c r="K166" i="19"/>
  <c r="K165" i="19"/>
  <c r="K164" i="19"/>
  <c r="K161" i="19"/>
  <c r="K160" i="19" s="1"/>
  <c r="K157" i="19"/>
  <c r="K154" i="19"/>
  <c r="K153" i="19"/>
  <c r="K151" i="19"/>
  <c r="K150" i="19"/>
  <c r="K149" i="19"/>
  <c r="K148" i="19"/>
  <c r="K147" i="19"/>
  <c r="K144" i="19"/>
  <c r="K143" i="19"/>
  <c r="K142" i="19"/>
  <c r="K138" i="19"/>
  <c r="K137" i="19"/>
  <c r="K136" i="19"/>
  <c r="K135" i="19"/>
  <c r="K134" i="19"/>
  <c r="K133" i="19"/>
  <c r="K132" i="19"/>
  <c r="K129" i="19"/>
  <c r="K128" i="19"/>
  <c r="K127" i="19"/>
  <c r="K126" i="19"/>
  <c r="K123" i="19"/>
  <c r="K122" i="19"/>
  <c r="K121" i="19"/>
  <c r="K120" i="19"/>
  <c r="K117" i="19"/>
  <c r="K116" i="19"/>
  <c r="K115" i="19"/>
  <c r="K114" i="19"/>
  <c r="K113" i="19"/>
  <c r="K112" i="19"/>
  <c r="K111" i="19"/>
  <c r="K110" i="19"/>
  <c r="K107" i="19"/>
  <c r="K106" i="19"/>
  <c r="K105" i="19"/>
  <c r="K104" i="19"/>
  <c r="K103" i="19"/>
  <c r="K102" i="19"/>
  <c r="K99" i="19"/>
  <c r="K98" i="19"/>
  <c r="K97" i="19"/>
  <c r="K96" i="19"/>
  <c r="K95" i="19"/>
  <c r="K94" i="19"/>
  <c r="K88" i="19"/>
  <c r="K87" i="19"/>
  <c r="K86" i="19"/>
  <c r="K85" i="19"/>
  <c r="K84" i="19"/>
  <c r="K82" i="19"/>
  <c r="K81" i="19"/>
  <c r="K80" i="19"/>
  <c r="K79" i="19"/>
  <c r="K78" i="19"/>
  <c r="K77" i="19"/>
  <c r="K76" i="19"/>
  <c r="K75" i="19"/>
  <c r="K73" i="19"/>
  <c r="K72" i="19"/>
  <c r="K71" i="19"/>
  <c r="K70" i="19"/>
  <c r="K69" i="19"/>
  <c r="K68" i="19"/>
  <c r="K67" i="19"/>
  <c r="K66" i="19"/>
  <c r="K65" i="19"/>
  <c r="K63" i="19"/>
  <c r="K62" i="19"/>
  <c r="K61" i="19"/>
  <c r="K60" i="19"/>
  <c r="K59" i="19"/>
  <c r="K58" i="19"/>
  <c r="K57" i="19"/>
  <c r="K56" i="19"/>
  <c r="K55" i="19"/>
  <c r="K53" i="19"/>
  <c r="K52" i="19"/>
  <c r="K51" i="19"/>
  <c r="K50" i="19"/>
  <c r="K48" i="19"/>
  <c r="K47" i="19"/>
  <c r="K46" i="19"/>
  <c r="K45" i="19"/>
  <c r="K44" i="19"/>
  <c r="K43" i="19"/>
  <c r="K42" i="19"/>
  <c r="K40" i="19"/>
  <c r="K36" i="19"/>
  <c r="K34" i="19"/>
  <c r="K33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G6" i="20" l="1"/>
  <c r="G10" i="20"/>
  <c r="G15" i="20"/>
  <c r="G22" i="20"/>
  <c r="G31" i="20"/>
  <c r="G37" i="20"/>
  <c r="G27" i="20"/>
  <c r="G44" i="20"/>
  <c r="K168" i="19"/>
  <c r="K386" i="19"/>
  <c r="K74" i="19"/>
  <c r="K354" i="19"/>
  <c r="K307" i="19"/>
  <c r="K312" i="19"/>
  <c r="K119" i="19"/>
  <c r="K171" i="19"/>
  <c r="K192" i="19"/>
  <c r="K109" i="19"/>
  <c r="K146" i="19"/>
  <c r="K218" i="19"/>
  <c r="K328" i="19"/>
  <c r="K375" i="19"/>
  <c r="K341" i="19"/>
  <c r="K32" i="19"/>
  <c r="K41" i="19"/>
  <c r="K101" i="19"/>
  <c r="K228" i="19"/>
  <c r="K266" i="19"/>
  <c r="K300" i="19"/>
  <c r="K316" i="19"/>
  <c r="K64" i="19"/>
  <c r="K125" i="19"/>
  <c r="K140" i="19"/>
  <c r="K249" i="19"/>
  <c r="K257" i="19"/>
  <c r="K282" i="19"/>
  <c r="K361" i="19"/>
  <c r="K368" i="19"/>
  <c r="K401" i="19"/>
  <c r="K54" i="19"/>
  <c r="K83" i="19"/>
  <c r="K131" i="19"/>
  <c r="K163" i="19"/>
  <c r="K180" i="19"/>
  <c r="K241" i="19"/>
  <c r="K278" i="19"/>
  <c r="K291" i="19"/>
  <c r="K349" i="19"/>
  <c r="K5" i="19"/>
  <c r="K49" i="19"/>
  <c r="K93" i="19"/>
  <c r="K186" i="19"/>
  <c r="K204" i="19"/>
  <c r="K236" i="19"/>
  <c r="K274" i="19"/>
  <c r="K336" i="19"/>
  <c r="K390" i="19"/>
  <c r="K394" i="19"/>
  <c r="K417" i="19"/>
  <c r="K409" i="19"/>
  <c r="G5" i="20" l="1"/>
  <c r="G36" i="20"/>
  <c r="G13" i="20"/>
  <c r="K179" i="19"/>
  <c r="K92" i="19"/>
  <c r="K156" i="19"/>
  <c r="K256" i="19"/>
  <c r="K327" i="19"/>
  <c r="K324" i="19" s="1"/>
  <c r="K322" i="19" s="1"/>
  <c r="K217" i="19"/>
  <c r="K39" i="19"/>
  <c r="K299" i="19"/>
  <c r="K382" i="19"/>
  <c r="G4" i="20" l="1"/>
  <c r="K91" i="19"/>
  <c r="K4" i="19" s="1"/>
  <c r="G72" i="26" l="1"/>
  <c r="G71" i="26"/>
  <c r="G70" i="26"/>
  <c r="G69" i="26"/>
  <c r="G63" i="26"/>
  <c r="G62" i="26"/>
  <c r="G66" i="26"/>
  <c r="G61" i="26"/>
  <c r="G65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7" i="26"/>
  <c r="G46" i="26"/>
  <c r="G45" i="26"/>
  <c r="G44" i="26"/>
  <c r="G43" i="26"/>
  <c r="G42" i="26"/>
  <c r="G41" i="26"/>
  <c r="G40" i="26"/>
  <c r="G39" i="26"/>
  <c r="G38" i="26"/>
  <c r="G36" i="26"/>
  <c r="G35" i="26" s="1"/>
  <c r="G34" i="26"/>
  <c r="G33" i="26"/>
  <c r="G32" i="26"/>
  <c r="G31" i="26"/>
  <c r="G27" i="26"/>
  <c r="G26" i="26"/>
  <c r="G30" i="26"/>
  <c r="G25" i="26"/>
  <c r="G24" i="26"/>
  <c r="G23" i="26"/>
  <c r="G22" i="26"/>
  <c r="G19" i="26"/>
  <c r="G18" i="26"/>
  <c r="G17" i="26"/>
  <c r="G15" i="26"/>
  <c r="G14" i="26"/>
  <c r="G13" i="26"/>
  <c r="G12" i="26"/>
  <c r="G11" i="26"/>
  <c r="G10" i="26"/>
  <c r="G9" i="26"/>
  <c r="G8" i="26"/>
  <c r="G21" i="26" l="1"/>
  <c r="G29" i="26"/>
  <c r="G7" i="26"/>
  <c r="G37" i="26"/>
  <c r="G64" i="26"/>
  <c r="G16" i="26"/>
  <c r="G48" i="26"/>
  <c r="G6" i="26" l="1"/>
  <c r="G20" i="26"/>
  <c r="G5" i="26" l="1"/>
  <c r="C233" i="18" l="1"/>
  <c r="C228" i="18"/>
  <c r="C222" i="18"/>
  <c r="C217" i="18"/>
  <c r="C212" i="18"/>
  <c r="C207" i="18"/>
  <c r="C200" i="18"/>
  <c r="C199" i="18"/>
  <c r="C195" i="18"/>
  <c r="C190" i="18"/>
  <c r="C188" i="18"/>
  <c r="C180" i="18"/>
  <c r="C178" i="18"/>
  <c r="C171" i="18"/>
  <c r="C164" i="18"/>
  <c r="C163" i="18"/>
  <c r="C159" i="18"/>
  <c r="C154" i="18"/>
  <c r="C149" i="18"/>
  <c r="C146" i="18"/>
  <c r="C143" i="18"/>
  <c r="C139" i="18"/>
  <c r="C134" i="18"/>
  <c r="C129" i="18"/>
  <c r="C128" i="18" s="1"/>
  <c r="C124" i="18"/>
  <c r="C119" i="18"/>
  <c r="C112" i="18"/>
  <c r="C109" i="18"/>
  <c r="C104" i="18"/>
  <c r="C98" i="18"/>
  <c r="C91" i="18"/>
  <c r="C84" i="18"/>
  <c r="C79" i="18"/>
  <c r="C74" i="18"/>
  <c r="C66" i="18"/>
  <c r="C59" i="18"/>
  <c r="C53" i="18"/>
  <c r="C45" i="18"/>
  <c r="C41" i="18"/>
  <c r="C37" i="18"/>
  <c r="C24" i="18"/>
  <c r="C8" i="18"/>
  <c r="C83" i="18" l="1"/>
  <c r="C23" i="18" s="1"/>
  <c r="C36" i="18"/>
  <c r="C221" i="18"/>
  <c r="C238" i="18"/>
  <c r="C88" i="13" l="1"/>
  <c r="B88" i="13"/>
  <c r="C87" i="13"/>
  <c r="B87" i="13"/>
  <c r="C86" i="13"/>
  <c r="B86" i="13"/>
  <c r="B85" i="13"/>
  <c r="C84" i="13"/>
  <c r="B84" i="13"/>
  <c r="C83" i="13"/>
  <c r="B83" i="13"/>
  <c r="C82" i="13"/>
  <c r="B82" i="13"/>
  <c r="C81" i="13"/>
  <c r="B81" i="13"/>
  <c r="C79" i="13"/>
  <c r="B79" i="13"/>
  <c r="C78" i="13"/>
  <c r="B78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4" i="13"/>
  <c r="B64" i="13"/>
  <c r="C63" i="13"/>
  <c r="B63" i="13"/>
  <c r="C62" i="13"/>
  <c r="B62" i="13"/>
  <c r="C61" i="13"/>
  <c r="B61" i="13"/>
  <c r="C60" i="13"/>
  <c r="B60" i="13"/>
  <c r="C58" i="13"/>
  <c r="B58" i="13"/>
  <c r="C57" i="13"/>
  <c r="B57" i="13"/>
  <c r="C56" i="13"/>
  <c r="B56" i="13"/>
  <c r="C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C31" i="13" s="1"/>
  <c r="B32" i="13"/>
  <c r="C30" i="13"/>
  <c r="B30" i="13"/>
  <c r="C29" i="13"/>
  <c r="B29" i="13"/>
  <c r="C28" i="13"/>
  <c r="B28" i="13"/>
  <c r="B27" i="13"/>
  <c r="C26" i="13"/>
  <c r="B26" i="13"/>
  <c r="C25" i="13"/>
  <c r="B25" i="13"/>
  <c r="C24" i="13"/>
  <c r="B24" i="13"/>
  <c r="C23" i="13"/>
  <c r="B23" i="13"/>
  <c r="C22" i="13"/>
  <c r="B22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C7" i="13" s="1"/>
  <c r="B8" i="13"/>
  <c r="C59" i="13" l="1"/>
  <c r="C80" i="13"/>
  <c r="C89" i="13" s="1"/>
  <c r="C21" i="13"/>
  <c r="C65" i="13"/>
  <c r="C117" i="12" l="1"/>
  <c r="C114" i="12"/>
  <c r="C98" i="12"/>
  <c r="C88" i="12"/>
  <c r="C78" i="12"/>
  <c r="C67" i="12"/>
  <c r="C60" i="12"/>
  <c r="C52" i="12"/>
  <c r="C51" i="12" s="1"/>
  <c r="C46" i="12"/>
  <c r="C43" i="12"/>
  <c r="C40" i="12"/>
  <c r="C34" i="12"/>
  <c r="C26" i="12"/>
  <c r="C21" i="12"/>
  <c r="C16" i="12"/>
  <c r="C5" i="12"/>
  <c r="C39" i="12" l="1"/>
  <c r="C25" i="12"/>
  <c r="C19" i="12" s="1"/>
  <c r="C122" i="12" s="1"/>
  <c r="C4" i="12" l="1"/>
  <c r="C60" i="11"/>
  <c r="C50" i="11"/>
  <c r="C43" i="11"/>
  <c r="C40" i="11"/>
  <c r="C34" i="11"/>
  <c r="C27" i="11"/>
  <c r="C20" i="11"/>
  <c r="C13" i="11"/>
  <c r="C5" i="11"/>
  <c r="C3" i="11" l="1"/>
  <c r="C73" i="11"/>
  <c r="B74" i="11" s="1"/>
  <c r="C54" i="4"/>
  <c r="C46" i="4"/>
  <c r="C40" i="4"/>
  <c r="C34" i="4"/>
  <c r="C28" i="4"/>
  <c r="C21" i="4"/>
  <c r="C16" i="4"/>
  <c r="C8" i="4"/>
  <c r="C62" i="4" s="1"/>
  <c r="C53" i="10" l="1"/>
  <c r="C45" i="10"/>
  <c r="C39" i="10"/>
  <c r="C33" i="10"/>
  <c r="C27" i="10"/>
  <c r="C20" i="10"/>
  <c r="C15" i="10"/>
  <c r="C7" i="10"/>
  <c r="C61" i="10" s="1"/>
  <c r="A62" i="10" s="1"/>
  <c r="G43" i="9" l="1"/>
  <c r="G42" i="9"/>
  <c r="G41" i="9"/>
  <c r="G40" i="9"/>
  <c r="G39" i="9"/>
  <c r="G37" i="9"/>
  <c r="G36" i="9"/>
  <c r="G35" i="9"/>
  <c r="G34" i="9"/>
  <c r="G33" i="9"/>
  <c r="G32" i="9"/>
  <c r="G31" i="9"/>
  <c r="G30" i="9"/>
  <c r="G28" i="9"/>
  <c r="G27" i="9"/>
  <c r="G26" i="9"/>
  <c r="G24" i="9"/>
  <c r="G23" i="9"/>
  <c r="G22" i="9"/>
  <c r="G21" i="9"/>
  <c r="G19" i="9"/>
  <c r="G18" i="9"/>
  <c r="G17" i="9" s="1"/>
  <c r="G15" i="9"/>
  <c r="G14" i="9" s="1"/>
  <c r="G13" i="9"/>
  <c r="G12" i="9"/>
  <c r="G11" i="9"/>
  <c r="G10" i="9"/>
  <c r="G9" i="9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49" i="8"/>
  <c r="G48" i="8"/>
  <c r="G47" i="8"/>
  <c r="G44" i="8"/>
  <c r="G43" i="8" s="1"/>
  <c r="G42" i="8"/>
  <c r="G41" i="8"/>
  <c r="G40" i="8"/>
  <c r="G39" i="8"/>
  <c r="G38" i="8"/>
  <c r="G36" i="8"/>
  <c r="G35" i="8"/>
  <c r="G34" i="8"/>
  <c r="G33" i="8"/>
  <c r="G32" i="8"/>
  <c r="G30" i="8"/>
  <c r="G29" i="8"/>
  <c r="G28" i="8"/>
  <c r="G26" i="8"/>
  <c r="G25" i="8"/>
  <c r="G24" i="8"/>
  <c r="G22" i="8"/>
  <c r="G21" i="8"/>
  <c r="G20" i="8"/>
  <c r="G19" i="8"/>
  <c r="G16" i="8"/>
  <c r="G15" i="8" s="1"/>
  <c r="G14" i="8"/>
  <c r="G13" i="8"/>
  <c r="G12" i="8"/>
  <c r="G11" i="8"/>
  <c r="G10" i="8"/>
  <c r="G9" i="8"/>
  <c r="G39" i="7"/>
  <c r="G38" i="7"/>
  <c r="G37" i="7"/>
  <c r="G36" i="7"/>
  <c r="G31" i="7" s="1"/>
  <c r="G30" i="7"/>
  <c r="G29" i="7"/>
  <c r="G28" i="7"/>
  <c r="G27" i="7"/>
  <c r="G26" i="7"/>
  <c r="G24" i="7"/>
  <c r="G23" i="7"/>
  <c r="G22" i="7"/>
  <c r="G21" i="7"/>
  <c r="G20" i="7"/>
  <c r="G18" i="7"/>
  <c r="G17" i="7"/>
  <c r="G16" i="7"/>
  <c r="G15" i="7"/>
  <c r="G12" i="7"/>
  <c r="G11" i="7" s="1"/>
  <c r="G10" i="7"/>
  <c r="G9" i="7"/>
  <c r="G8" i="7"/>
  <c r="G7" i="7"/>
  <c r="G51" i="6"/>
  <c r="G50" i="6"/>
  <c r="G49" i="6"/>
  <c r="G48" i="6"/>
  <c r="G43" i="6"/>
  <c r="G42" i="6"/>
  <c r="G41" i="6"/>
  <c r="G40" i="6"/>
  <c r="G39" i="6"/>
  <c r="G37" i="6"/>
  <c r="G36" i="6"/>
  <c r="G35" i="6"/>
  <c r="G34" i="6"/>
  <c r="G33" i="6"/>
  <c r="G32" i="6"/>
  <c r="G30" i="6"/>
  <c r="G29" i="6"/>
  <c r="G28" i="6"/>
  <c r="G26" i="6"/>
  <c r="G25" i="6"/>
  <c r="G24" i="6"/>
  <c r="G22" i="6"/>
  <c r="G21" i="6"/>
  <c r="G20" i="6"/>
  <c r="G19" i="6"/>
  <c r="G16" i="6"/>
  <c r="G15" i="6" s="1"/>
  <c r="G14" i="6"/>
  <c r="G13" i="6"/>
  <c r="G12" i="6"/>
  <c r="G11" i="6"/>
  <c r="G10" i="6"/>
  <c r="G9" i="6"/>
  <c r="G70" i="5"/>
  <c r="G69" i="5"/>
  <c r="G68" i="5"/>
  <c r="G66" i="5"/>
  <c r="G65" i="5"/>
  <c r="G64" i="5"/>
  <c r="G63" i="5"/>
  <c r="G59" i="5"/>
  <c r="G58" i="5"/>
  <c r="G57" i="5"/>
  <c r="G56" i="5"/>
  <c r="G55" i="5"/>
  <c r="G54" i="5"/>
  <c r="G53" i="5"/>
  <c r="G52" i="5"/>
  <c r="G50" i="5"/>
  <c r="G49" i="5"/>
  <c r="G48" i="5"/>
  <c r="G47" i="5"/>
  <c r="G46" i="5"/>
  <c r="G45" i="5"/>
  <c r="G43" i="5"/>
  <c r="G42" i="5"/>
  <c r="G41" i="5"/>
  <c r="G40" i="5"/>
  <c r="G39" i="5"/>
  <c r="G38" i="5"/>
  <c r="G37" i="5"/>
  <c r="G36" i="5"/>
  <c r="G35" i="5"/>
  <c r="G33" i="5"/>
  <c r="G32" i="5"/>
  <c r="G31" i="5"/>
  <c r="G30" i="5"/>
  <c r="G29" i="5"/>
  <c r="G28" i="5"/>
  <c r="G27" i="5"/>
  <c r="G26" i="5"/>
  <c r="G24" i="5"/>
  <c r="G23" i="5"/>
  <c r="G22" i="5"/>
  <c r="G21" i="5"/>
  <c r="G20" i="5"/>
  <c r="G19" i="5"/>
  <c r="G16" i="5"/>
  <c r="G15" i="5" s="1"/>
  <c r="G14" i="5"/>
  <c r="G13" i="5"/>
  <c r="G12" i="5"/>
  <c r="G11" i="5"/>
  <c r="G29" i="9" l="1"/>
  <c r="G38" i="9"/>
  <c r="G8" i="9"/>
  <c r="G20" i="9"/>
  <c r="G25" i="9"/>
  <c r="G27" i="8"/>
  <c r="G46" i="8"/>
  <c r="G23" i="8"/>
  <c r="G18" i="8"/>
  <c r="G37" i="8"/>
  <c r="G8" i="8"/>
  <c r="G31" i="8"/>
  <c r="G6" i="7"/>
  <c r="G5" i="7" s="1"/>
  <c r="G14" i="7"/>
  <c r="G19" i="7"/>
  <c r="G25" i="7"/>
  <c r="G23" i="6"/>
  <c r="G31" i="6"/>
  <c r="G46" i="6"/>
  <c r="G8" i="6"/>
  <c r="G7" i="6" s="1"/>
  <c r="G27" i="6"/>
  <c r="G38" i="6"/>
  <c r="G18" i="6"/>
  <c r="G18" i="5"/>
  <c r="G62" i="5"/>
  <c r="G10" i="5"/>
  <c r="G9" i="5" s="1"/>
  <c r="G44" i="5"/>
  <c r="G25" i="5"/>
  <c r="G34" i="5"/>
  <c r="G16" i="9" l="1"/>
  <c r="G6" i="9" s="1"/>
  <c r="G6" i="8"/>
  <c r="G13" i="7"/>
  <c r="G4" i="7" s="1"/>
  <c r="G17" i="6"/>
  <c r="G6" i="6" s="1"/>
  <c r="G8" i="5"/>
  <c r="G7" i="5" s="1"/>
  <c r="G5" i="1" l="1"/>
  <c r="G6" i="1"/>
  <c r="C116" i="3" l="1"/>
  <c r="C111" i="3"/>
  <c r="C101" i="3"/>
  <c r="C94" i="3"/>
  <c r="C92" i="3"/>
  <c r="C90" i="3"/>
  <c r="C85" i="3"/>
  <c r="C80" i="3"/>
  <c r="C75" i="3"/>
  <c r="C70" i="3"/>
  <c r="C61" i="3"/>
  <c r="C55" i="3"/>
  <c r="C46" i="3"/>
  <c r="C40" i="3"/>
  <c r="C31" i="3"/>
  <c r="C25" i="3"/>
  <c r="C20" i="3"/>
  <c r="C15" i="3" s="1"/>
  <c r="C16" i="3"/>
  <c r="C13" i="3"/>
  <c r="C6" i="3"/>
  <c r="C121" i="3" l="1"/>
  <c r="G11" i="1" l="1"/>
  <c r="G46" i="1"/>
  <c r="G50" i="1"/>
  <c r="G51" i="1"/>
  <c r="G52" i="1"/>
  <c r="G53" i="1"/>
  <c r="G54" i="1"/>
  <c r="G49" i="1"/>
  <c r="G48" i="1" l="1"/>
  <c r="G45" i="1" l="1"/>
  <c r="G40" i="1"/>
  <c r="G41" i="1"/>
  <c r="G42" i="1"/>
  <c r="G39" i="1"/>
  <c r="G58" i="1"/>
  <c r="G59" i="1"/>
  <c r="G60" i="1"/>
  <c r="G44" i="1" l="1"/>
  <c r="G38" i="1"/>
  <c r="G37" i="1" l="1"/>
  <c r="G33" i="1"/>
  <c r="G35" i="1"/>
  <c r="G34" i="1"/>
  <c r="G25" i="1"/>
  <c r="G22" i="1"/>
  <c r="G23" i="1"/>
  <c r="G24" i="1"/>
  <c r="G26" i="1"/>
  <c r="G21" i="1"/>
  <c r="G32" i="1" l="1"/>
  <c r="G31" i="1"/>
  <c r="G30" i="1"/>
  <c r="G29" i="1"/>
  <c r="G20" i="1"/>
  <c r="G15" i="1"/>
  <c r="G19" i="1" l="1"/>
  <c r="G28" i="1"/>
  <c r="G18" i="1" l="1"/>
  <c r="G61" i="1"/>
  <c r="G57" i="1" l="1"/>
  <c r="G17" i="1" l="1"/>
  <c r="G14" i="1"/>
  <c r="G9" i="1"/>
  <c r="G10" i="1"/>
  <c r="G12" i="1"/>
  <c r="G8" i="1"/>
  <c r="G13" i="1" l="1"/>
  <c r="G7" i="1"/>
</calcChain>
</file>

<file path=xl/sharedStrings.xml><?xml version="1.0" encoding="utf-8"?>
<sst xmlns="http://schemas.openxmlformats.org/spreadsheetml/2006/main" count="2044" uniqueCount="1384">
  <si>
    <t>อัตราที่ตั้ง</t>
  </si>
  <si>
    <t>รวมเงิน
(บาท)</t>
  </si>
  <si>
    <t>รวมทั้งสิ้น</t>
  </si>
  <si>
    <t xml:space="preserve">   (1.1) บุคลากรหลัก</t>
  </si>
  <si>
    <t xml:space="preserve">   (1.2) บุคลากรสนับสนุน</t>
  </si>
  <si>
    <t xml:space="preserve">   (1.3) ค่าใช้จ่ายอื่น</t>
  </si>
  <si>
    <t>คน-วัน</t>
  </si>
  <si>
    <t>ครั้ง</t>
  </si>
  <si>
    <t>ชุด</t>
  </si>
  <si>
    <t>ฉบับ</t>
  </si>
  <si>
    <t>รายงานฉบับสมบูรณ์ (Final Report)</t>
  </si>
  <si>
    <t xml:space="preserve">รายงานฉบับที่ 1 </t>
  </si>
  <si>
    <t>รายงานฉบับที่ 2</t>
  </si>
  <si>
    <t>รายงานฉบับที่ 3</t>
  </si>
  <si>
    <t>คน-คืน</t>
  </si>
  <si>
    <t>- ค่าวิทยากร (1,200 บาท x 6 ชม x 2 ครั้ง)</t>
  </si>
  <si>
    <t>สรุปราคากลางค่าใช้จ่ายในการดำเนินโครงการ</t>
  </si>
  <si>
    <t>รายละเอียดค่าใช้จ่าย</t>
  </si>
  <si>
    <t>รวมเงิน</t>
  </si>
  <si>
    <t>(บาท)</t>
  </si>
  <si>
    <t>บุคลากร</t>
  </si>
  <si>
    <t>4. การจัดทำเอกสารรายงาน</t>
  </si>
  <si>
    <t>ผู้จัดการโครงการ ประสบการณ์ (ป.โท 12 ปี)</t>
  </si>
  <si>
    <t>ผู้เชี่ยวชาญด้านเศรษฐศาสตร์ (ป.โท 7 ปี)</t>
  </si>
  <si>
    <t>ผู้เชี่ยวชาญด้านการบำรุงรักษาเครื่องจักร (ป.โท 10 ปี)</t>
  </si>
  <si>
    <r>
      <t xml:space="preserve">1. </t>
    </r>
    <r>
      <rPr>
        <b/>
        <u/>
        <sz val="14"/>
        <rFont val="TH SarabunPSK"/>
        <family val="2"/>
      </rPr>
      <t>กิจกรรมให้ความรู้เรื่องการปรับเปลี่ยนเครื่องจักร</t>
    </r>
  </si>
  <si>
    <t>วัน</t>
  </si>
  <si>
    <t>- ค่าเช่ารถตู้ รวมน้ำมัน (2 วัน  x 2 ครั้ง)</t>
  </si>
  <si>
    <t>- ค่าอาหาร (อาหารกลางวัน อาหารว่าง 2 มื้อ x 100 คน x 2 ครั้ง)</t>
  </si>
  <si>
    <t>- ค่าที่พัก เจ้าหน้าที่เตรียมการ (3 ห้อง x 1 คืน  x 2 ครั้ง)</t>
  </si>
  <si>
    <t>- ค่าเบี้ยเลี้ยงเจ้าหน้าที่เตรียมการ (6 คน x 2 วัน  x 2 ครั้ง)</t>
  </si>
  <si>
    <t>- ค่าเบี้ยเลี้ยงเจ้าหน้าที่เตรียมการ (6 คน x 2 วัน  x 5 ครั้ง)</t>
  </si>
  <si>
    <r>
      <t xml:space="preserve">2. </t>
    </r>
    <r>
      <rPr>
        <b/>
        <u/>
        <sz val="14"/>
        <rFont val="TH SarabunPSK"/>
        <family val="2"/>
      </rPr>
      <t>กิจกรรมดำเนินการตรวจสอบและจัดทำรายงานการปรับเปลี่ยนเครื่องจักร</t>
    </r>
  </si>
  <si>
    <t>คน-เที่ยว (ไป-กลับ)</t>
  </si>
  <si>
    <t>ห้อง-วัน</t>
  </si>
  <si>
    <t xml:space="preserve">2.1 ดำเนินการตรวจสอบเครื่องจักรของผู้ประกอบการ </t>
  </si>
  <si>
    <t>- ค่าเอกสารประกอบการตรวจ (4 คน x 1 ชุด  x 2 ครั้ง)</t>
  </si>
  <si>
    <t>2.2 การจัดทำรายงานการปรับเปลี่ยนเครื่องจักร</t>
  </si>
  <si>
    <t xml:space="preserve">- ค่ารายงานการปรับเปลี่ยนเครื่องจักร </t>
  </si>
  <si>
    <t>เล่ม</t>
  </si>
  <si>
    <t>แผ่น</t>
  </si>
  <si>
    <t>เหมารวม</t>
  </si>
  <si>
    <t>1.1 การประชุมสัมมนาเครือข่าย โดยมีผู้เข้าร่วมสัมมนาไม่น้อยกว่า 200 คน จำนวน 2 ครั้ง</t>
  </si>
  <si>
    <t>- ค่าวิทยากร (1,200 บาท x 6 ชม x 5 ครั้ง x 2 วัน)</t>
  </si>
  <si>
    <t>- ค่าเช่ารถตู้ รวมน้ำมัน (3 วัน  x 5 ครั้ง)</t>
  </si>
  <si>
    <t>- ค่าที่พัก เจ้าหน้าที่เตรียมการ (3 ห้อง x 2 คืน  x 5 ครั้ง)</t>
  </si>
  <si>
    <t>1.2 การให้ความรู้ความเข้าใจผู้ประกอบการให้สามารถดำเนินการปรับเปลี่ยนเครื่องจักร จำนวน 5 ครั้ง ครั้งละ 2 วัน</t>
  </si>
  <si>
    <t>3. การเผยแพร่องค์ความรู้ให้แก่ผู้ประกอบการโดยผ่านสื่อต่างๆ เช่น เอกสารคู่มือ / ซีดีรอมข้อมูล / วีดิทัศน์ /แผ่นป้าย</t>
  </si>
  <si>
    <t>- จัดพิมพ์เอกสารหลักเกณฑ์/มาตรฐาน สำหรับผู้ประกอบการ</t>
  </si>
  <si>
    <t>- จัดทำ CD รวบรวมข้อมูลหลักเกณฑ์/มาตรฐาน</t>
  </si>
  <si>
    <t xml:space="preserve">- จัดทำ CD องค์ความรู้ด้านการปรับเปลี่ยนเครื่องจักรในรูปแบบต่างๆ เช่น วีดิทัศน์ </t>
  </si>
  <si>
    <t xml:space="preserve">- ค่าแผ่นพับ ขนาด A4 พิมพ์ 4 สี 2 หน้าพับ 3 ตอน </t>
  </si>
  <si>
    <t xml:space="preserve">- โปสเตอร์ ขนาด A2 พิมพ์ 4 สี </t>
  </si>
  <si>
    <t>- แผ่นป้ายไวนิล ขนาดประมาณ 1.2x2.4 เมตร</t>
  </si>
  <si>
    <t>- ค่าตอบแทนคณะกรรมการพิจารณาเครื่องจักรจากหน่วยงานภายนอก (10 คน x 10 ครั้ง)</t>
  </si>
  <si>
    <t>- ค่าอาหาร (อาหารกลางวัน/อาหารว่าง 2 มื้อ x 50 คน x 5 ครั้ง x 2 วัน)</t>
  </si>
  <si>
    <t>รายละเอียดงบประมาณปี 2562</t>
  </si>
  <si>
    <t>- ค่าที่พักวิทยากร (80 โรงงาน  x  2 คน x 3 คืน  x 2 ครั้ง)</t>
  </si>
  <si>
    <t>ผู้เชี่ยวชาญด้านวิศวกรรมเครื่องกล (ป.โท 10 ปี)</t>
  </si>
  <si>
    <t>ผู้เชี่ยวชาญด้านวิศวกรรมทั่วไป (ป.โท 10 ปี)</t>
  </si>
  <si>
    <t>เจ้าหน้าที่ประสานงาน (ป.ตรี 2 ปี)</t>
  </si>
  <si>
    <t>เจ้าหน้าที่บันทึกข้อมูล (ป.ตรี 2 ปี)</t>
  </si>
  <si>
    <t>- ค่าเช่ารถตู้ รวมน้ำมัน (45 โรงงาน x 3 วัน x 2 ครั้ง)</t>
  </si>
  <si>
    <t>- ค่าเครื่องบินวิทยากร (35 โรงงาน X 2 คน  x 2 ครั้ง)</t>
  </si>
  <si>
    <t>- ค่าสถานที่จัดประชุมและตกแต่งสถานที่ (15,000 บาท x 2 ครั้ง)</t>
  </si>
  <si>
    <t>- ค่าสถานที่จัดประชุมและตกแต่งสถานที่ (15,000 บาท x 5 ครั้ง)</t>
  </si>
  <si>
    <t>- จัดทำวีดีทัศน์องค์ความรู้ด้านการปรับเปลี่ยนเครื่องจักร ความยาวไม่เกิน 8 นาที</t>
  </si>
  <si>
    <t>- ค่าเอกสารการประชุม (100 คน x 70 บาท x 2 ครั้ง)</t>
  </si>
  <si>
    <t>- ค่าเอกสารการประชุม (50 คน x 70 บาท x 5 ครั้ง)</t>
  </si>
  <si>
    <t>ตัวอย่าง</t>
  </si>
  <si>
    <t xml:space="preserve">                 โครงการส่งเสริมโรงงานอุตสาหกรรมให้มีความรับผิดชอบต่อสังคมและชุมชนอย่างยั่งยืน
         (CSR Beginner and CSR-DIW) 
            (ภายใต้ค่าใช้จ่ายในการพัฒนาเมืองอุตสาหกรรมเชิงนิเวศ)
            (กรมโรงงานอุตสาหกรรม งบประมาณ           ล้านบาท)</t>
  </si>
  <si>
    <t xml:space="preserve">   โครงการส่งเสริมโรงงานอุตสาหกรรมให้มีความรับผิดชอบต่อสังคมและชุมชนอย่างยั่งยืน
         (CSR Beginner and CSR-DIW) </t>
  </si>
  <si>
    <t>ค่าตอบแทนบุคลากร</t>
  </si>
  <si>
    <t>1.1) ค่าตอบแทนผู้จัดการโครงการ (ป.โท ประสบการณ์ 7 ปี) (1 คน x 85,000 บาท/เดือน x6 เดือน)</t>
  </si>
  <si>
    <t>1.2) ค่าตอบแทนผู้จัดการด้านการตรวจประเมินและการรับรองระบบการจัดการ (ป.โท ประสบการณ์ 3 ปี) (1 คน x 7,000 บาท/เดือนx 8 เดือน)</t>
  </si>
  <si>
    <t>1.3) ค่าตอบแทนผู้เชี่ยวชาญด้านการจัดการให้คำปรึกษา (ป.โท ประสบการณ์ 1 ปี) (1 คนx 70,000 บาท/เดือนx 8 เดือน)</t>
  </si>
  <si>
    <t>1.4) ค่าตอบแทน วิทยากร/ผู้เชี่ยวชาญ ที่ปรึกษา (ป.ตรี ประสบการณ์ 3 ปี) (1 คน x 55,000 บาท/เดือนx 9 เดือน )</t>
  </si>
  <si>
    <t>1.5) ค่าตอบแทนผู้ประเมินที่ปรึกษา (ป.ตรี ประสบการณ์ 3 ปี) (1 คน x 55,000 บาท/เดือนx 8 เดือน)</t>
  </si>
  <si>
    <t>1.6) ค่าตอบแทนผู้ประสานงานโครงการ  (ป.ตรี ประสบการณ์ 3 ปี) (2 คน x 15,000 บาท/เดือนx 9 เดือน)</t>
  </si>
  <si>
    <t>บุคลากรสนับสนุน</t>
  </si>
  <si>
    <t>2.1) ค่าตอบแทนผู้ดำเนินงานด้านมีส่วนร่วมของประชาชน (ป.ตรี ประสบการณ์ 1 ปี) (1 คน x 15,000 บาท/เดือนx 9 เดือน)</t>
  </si>
  <si>
    <t>ค่าตอบแทนการดำเนินงาน</t>
  </si>
  <si>
    <t>จัดพิมพ์เอกสารมาตรฐาน แนวทางและรูปแบบรายงาน</t>
  </si>
  <si>
    <t>1) ค่าจัดพิมพ์เอกสารแนวทางปฏิบัติของผู้ประกอบการ (100 บาท x 620 ฉบับ)</t>
  </si>
  <si>
    <t>2) ค่าจัดพิมพ์เอกสารแนวทางปฏิบัติสำหรับโรงงาน (100 บาท x 620 ฉบับ)</t>
  </si>
  <si>
    <t>3) จัดทำแผ่นบันทึกข้อมูล (DVD) (17 บาท x 620 ชุด)</t>
  </si>
  <si>
    <t>จัดเผยแพร่ความรู้ (Group training) (620 โรงงาน)</t>
  </si>
  <si>
    <t>1) ค่าสถานที่จัดอบรม (25,000 บาท x 5ครั้ง)</t>
  </si>
  <si>
    <t>2) ค่าอาหารว่าง 2 มื้อๆ ละ 50บาท (100 บาท x 620 คน)</t>
  </si>
  <si>
    <t>3) ค่าอาหารกลางวัน (500 บาท x 620 คน)</t>
  </si>
  <si>
    <t>4) ค่าเอกสารประกอบการอบรม (620 ชุด x 70 บาท)</t>
  </si>
  <si>
    <t>การสร้างความรู้ความเข้าใจ (Coaching) กลุ่ม CSR-DIW for beginner (500 โรงงาน)</t>
  </si>
  <si>
    <t>1) ค่าสถานที่พร้อมตกแต่งและสิ่งอำนวยความสะดวก (จำนวน 4 ครั้ง)</t>
  </si>
  <si>
    <t>2) ค่าวิทยากรอบรมกลุ่ม (1200 บาท x 7 ชั่วโมง x 20 กลุ่ม)</t>
  </si>
  <si>
    <t xml:space="preserve">3) ค่าอาหารผู้เข้าร่วมประชุม 500 คน x 1 มื้อ (1 คน/โรงงาน) +(เจ้าหน้าที่ดำเนินงาน 40 คน)
</t>
  </si>
  <si>
    <t>4) ค่าอาหารว่าง (500 คน x 2 มื้อ (1 คน/โรงงาน) +เจ้าหน้าที่ 40 คน</t>
  </si>
  <si>
    <t>5) เอกสารประกอบการอบรม (500โรงงาน x 1 คน x 1 ชุด (1 คน/โรงงาน)</t>
  </si>
  <si>
    <t>การสร้างความรู้ความเข้าใจ (Coaching) กลุ่ม CSR-DIW กลุ่มที่ 1 ณ สถานประกอบการ (จำนวน 95 โรงงาน ดำเนินการโดยที่ปรึกษาฯ)</t>
  </si>
  <si>
    <t xml:space="preserve">1) ติดต่อประสานงานโรงงาน (95 โรงงาน x 4 ครั้ง x ค่าประสานงาน 200 บาท)
</t>
  </si>
  <si>
    <t xml:space="preserve">2) ค่าเช่ารถรวมน้ำมัน (2500 บาท x 95 โรงงาน x 4 ครั้ง)
</t>
  </si>
  <si>
    <t xml:space="preserve">3) ค่าเบี้ยเลี้ยงเจ้าหน้าที่สนับสนุน (240บาท x 95 โรงงาน x 4 ครั้ง x   2 คน)
</t>
  </si>
  <si>
    <t>4) ค่าที่พักเจ้าหน้าที่สนับสนุน (800 บาท x 2 คน x 95 คืน)</t>
  </si>
  <si>
    <t>5) ค่าเครื่องบินวิทยากร ผู้เชี่ยวชาญ(2500 บาท x 30 คน x 6 เที่ยว (ไป-กลับ))</t>
  </si>
  <si>
    <t>6) ค่าที่พักวิทยากรอบรม/ผู้เชี่ยวชาญ CSR-DIW (1200 บาท x 95 คน x 4 คืน)</t>
  </si>
  <si>
    <t>7) ค่าเอกสาร (70 บาท x 95 โรงงาน x โรงงานละ 1 คน)</t>
  </si>
  <si>
    <t>8) ค่าวิทยากรที่ปรึกษา Coaching/ผู้เชี่ยวชาญ ณ สถานประกอบการ (95 คน x 5000 บาท x 4 ครั้ง)</t>
  </si>
  <si>
    <t>การสร้างความรู้ความเข้าใจ (Coaching) กลุ่ม CSR-DIW กลุ่มที่ 2 (จำนวน 25 โรงงาน โดยพนักงานเจ้าหน้าที่ของกรมโรงานอุตสาหกรรม)</t>
  </si>
  <si>
    <t>1) ค่าน้ำมันเชื้อเพลิง (2500 บาท x 25โรงงาน x 4 ครั้ง)</t>
  </si>
  <si>
    <t>2) เบี้ยเลี้ยงเจ้าหน้าที่ (240 x 25 โรงงาน x 4 ครั้ง)</t>
  </si>
  <si>
    <t>3) ค่าที่พัก (800 บาท x 3 คน x 25 โรงงาน x 4 คืน</t>
  </si>
  <si>
    <t>4) ค่าพาหนะ (แท็กซี่) (500 บาท x 3 คน x 25 โรงงาน x 4 ครั้ง)</t>
  </si>
  <si>
    <t>5) เอกสารประกอบการอบรม ( 70 บาท x 25 โรงงาน x โรงงานละ 1 คน)</t>
  </si>
  <si>
    <t>การทวนสอบ (Verification) กลุ่ม CSR-DIW beginner กลุ่มที่ 1 หัวข้อหลักด้านสิ่งแวดล้อม (โดยที่ปรึกษา) (400 โรงงาน)</t>
  </si>
  <si>
    <t>1) ค่าติดต่อประสานงานโรงงาน (400 โรงงาน x 2 ครั้ง x 200 บาท)</t>
  </si>
  <si>
    <t>2) ค่าเช่ารถรวมน้ำมัน (2500 บาท x 400 โรงงาน x 1 ครั้ง)</t>
  </si>
  <si>
    <t>3) เบี้ยเลี้ยงเจ้าหน้าที่สนับสนุน (240 บาท x 400 โรงงาน x 2 วัน x 2 คน)</t>
  </si>
  <si>
    <t>4)ค่าที่พักเจ้าหน้าที่สนับสนุน (800 บาท x 400 โรงงาน x 1 คืน x 2 คน)</t>
  </si>
  <si>
    <t>5) ค่าเครื่องบินวิทยากร/ผู้เชี่ยวชาญ (2500 บาท x 30 คน x 6 เที่ยว (ไป-กลับ))</t>
  </si>
  <si>
    <t>6) ค่าที่พักวิทยากรอบรม /ผู้เชี่ยวชาญ(1200 บาท x 400 โรงงาน x 1 คืน</t>
  </si>
  <si>
    <t>7) ค่าวิทยากรที่ปรึกษา/ผู้เชี่ยวชาญ (Verification) ณ สถานประกอบการ (50 คน x 5000 บาท x 4 ครั้ง)</t>
  </si>
  <si>
    <t>8) เอกสารประกอบการอบรม (70 บาท x 400 โรงงาน x โรงงานละ 1 คน)</t>
  </si>
  <si>
    <t>การทวนสอบ (Verification) กลุ่ม CSR-DIW beginner กลุ่มที่ 2 หัวข้อหลักด้านการมีส่วนร่วมและการพัฒนาชุมชน (โดยพนักงานเจ้าหน้าที่ของกรมโรงานอุตสาหกรรม) (100 โรงงาน)</t>
  </si>
  <si>
    <t>1) ค่าเช่ารถรวมน้ำมันเชื้อเพลิง (2500 บาท x 100 โรงงาน x 1 ครั้ง)</t>
  </si>
  <si>
    <t>2) เบี้ยเลี้ยงเจ้าหน้าที่ (240 x 100โรงงาน x 2 วัน)</t>
  </si>
  <si>
    <t>3) ค่าที่พัก (800 บาท x 100 โรงงาน x 1 คืน x 3 คน)</t>
  </si>
  <si>
    <t>4) ค่าพาหนะ (แท็กซี่) (3 คน x 500 บาท x 100 ครั้ง)</t>
  </si>
  <si>
    <t>5) เอกสารประกอบการทวนสอบ (70 บาท x 100 โรงงาน x โรงงานละ 1 คน)</t>
  </si>
  <si>
    <t>การทวนสอบ (Verification) CSR-DIW กลุ่มที่ 1 (จำนวน 95 โรงงาน ดำเนินการโดยที่ปรึกษาฯ)</t>
  </si>
  <si>
    <t>1) ติดต่อประสานงานโรงงาน (95โรงงาน x 4 ครั้ง x ค่าประสานงาน 200 บาท)</t>
  </si>
  <si>
    <t>2) ค่าเช่ารถ รวมน้ำมัน (2500 บาท x 95 โรงงาน x 4 ครั้ง)</t>
  </si>
  <si>
    <t>3) เบี้ยเลี้ยงเจ้าหน้าที่สนับสนุน (240 x 2 คน x 95โรงงาน x 4 วัน)</t>
  </si>
  <si>
    <t>4) ค่าที่พักเจ้าหน้าที่สนับสนุน (800 บาท x 95 โรงงาน x 4 คืน x 2 คน)</t>
  </si>
  <si>
    <t>5) ค่าเครื่องบินวิทยากร/ผู้เชี่ยวชาญ (2500 บาท x 30คน x 6 เที่ยว (ไป-กลับ))</t>
  </si>
  <si>
    <t>6) ค่าที่พักวิทยากรอบรม/ผู้เชี่ยวชาญ(1200 บาท x 95โรงงาน x 4คืน)</t>
  </si>
  <si>
    <t>7) ผู้ประเมิน Verifying ณ สถานประกอบการ (40 คน x 8,500 บาท x 2 วัน)</t>
  </si>
  <si>
    <t>8) เอกสารประกอบการอบรม (70 บาท x 95 โรงงาน x โรงงานละ 1 คน)</t>
  </si>
  <si>
    <t>การทวนสอบ (Verification) CSR-DIW กลุ่มที่ 2 (จำนวน 25 โรงงาน โดยพนักงานเจ้าหน้าที่ของกรมโรงงานอุตสาหกรรม)</t>
  </si>
  <si>
    <t>1) ค่าน้ำมัน (2500 บาท x 25 โรงงาน x 2 ครั้ง)</t>
  </si>
  <si>
    <t>2) ค่าเบี้ยเลี้ยงเจ้าหน้าที่ (240 x 25โรงงาน x 2 ครั้ง)</t>
  </si>
  <si>
    <t>3) ค่าที่พัก (800 บาท x 25 โรงงาน x 1 คืน x 3 คน)</t>
  </si>
  <si>
    <t>4) เอกสารประกอบการทวนสอบ (70 บาท x 25 โรงงาน x โรงงานละ 1 คน)</t>
  </si>
  <si>
    <t>3.10</t>
  </si>
  <si>
    <t>การจัดให้มีการสรุปผลการทวนสอบของโรงงานอุตสาหกรรมกลุ่มที่ 1 CSR-DIW for beginner และนำเสนอคณะผู้ชำนาญการของกรมโรงงานอุตสาหกรรมให้ความเห็นชอบ เพื่อรับรางวัล CSR-DIW for beginner Award ผลการตัดสินของคณะผู้ชำนาญการถือเป็นที่สิ้นสุด</t>
  </si>
  <si>
    <t>1) ค่าเช่าสถานที่</t>
  </si>
  <si>
    <t>2) เอกสารประกอบการอบรม (70 บาท x 30 ชุด)</t>
  </si>
  <si>
    <t>3) ค่าอาหารผู้เข้าร่วมประชุม (500 บาทx 30 ชุด)</t>
  </si>
  <si>
    <t>4) ค่าอาหารว่าง  (70 บาท x 30 คน)</t>
  </si>
  <si>
    <t>3.11</t>
  </si>
  <si>
    <t xml:space="preserve">การจัดให้มีการสรุปผลการทวนสอบรายงานของโรงงานอุตสาหกรรม กลุ่มCSR-DIW และนำเสนอคณะกรรมการของกรมโรงงานอุตสาหกรรมให้ความเห็นชอบ เพื่อรับรางวัล CSR-DIW Award ผลการตัดสินของคณะกรรมการถือเป็นที่สิ้นสุด
</t>
  </si>
  <si>
    <t>3.12</t>
  </si>
  <si>
    <t>การสนับสนุนการดำเนินงานของคณะกรรมการบริหารเครือข่าย CSR-DIWจัดให้มีการประชุมคณะกรรมการบริหารเครือข่าย CSR-DIW อย่างน้อยเดือนละ 1 ครั้ง หรือตามที่คณะกรรมการบริหารเครือข่าย CSR-DIW กำหนด</t>
  </si>
  <si>
    <t>1) ค่าสถานที่จัดประชุมประจำเดือน (5000 บาท x 9 ครั้ง)</t>
  </si>
  <si>
    <t>2) เอกสารประกอบการประชุม (70 บาท x 30 ชุด x 9 ครั้ง)</t>
  </si>
  <si>
    <t>3) ค่าอาหารผู้เข้าร่วมประชุม (500 บาทx 30 ชุด x 9 ครั้ง)</t>
  </si>
  <si>
    <t>4) ค่าอาหารว่าง (70 บาท x 30 คน x 9 ครั้ง)</t>
  </si>
  <si>
    <t>การดำเนินการพัฒนาเว็บไซด์ www.csrdiw.com เพื่อรวบรวมข้อมูลและเผยแพร่กิจกรรมของโครงการรวมถึงกิจกรรมต่างๆ ของสมาชิกเครือข่าย</t>
  </si>
  <si>
    <t>1) พัฒนาสื่อเครือข่ายทางและเผยแพร่กิจกรรมของโครงการรวมถึงกิจกรรมต่างๆ ของสมาชิกเครือข่าย Website</t>
  </si>
  <si>
    <t>ศึกษารวบรวม วิเคราะห์ข้อมูลผลการดำเนินงานโครงการ CSR-DIW ของกรมโรงงานอุตสาหกรรมตั้งแต่ปี 2551 จนถึงปัจจุบัน</t>
  </si>
  <si>
    <t xml:space="preserve">1) การรวบรวมข้อมูลผลการดำเนินงานโครงการ CSR-DIW  </t>
  </si>
  <si>
    <t xml:space="preserve">การจัดงานสรุปผลการดำเนินงานและมอบรางวัลและเกียรติบัตรแก่โรงงานอุตสาหกรรมในสถานที่ที่มีสิ่งอำนวยความสะดวกอย่างพอเพียง จำนวน 1 ครั้งประกอบด้วย CSR-DIW beginner Award และ CSR-DIW Award </t>
  </si>
  <si>
    <t>1) ค่าสถานที่พร้อมตกแต่งและสิ่งอำนวยความสะดวก</t>
  </si>
  <si>
    <t>2) ค่าพิธีกร (1 คน /1 ครั้ง)</t>
  </si>
  <si>
    <t>3) ค่าเบี้ยเลี้ยงเจ้าหน้าที่ (600 บาท x 60 คน)</t>
  </si>
  <si>
    <t>4) ค่าเช่ารถรวมน้ำมัน (2500 บาท x 15 คัน x 1 วัน)</t>
  </si>
  <si>
    <t>5) ค่าโล่รางวัล (1000 บาท x 620 อัน)</t>
  </si>
  <si>
    <t>6) ประกาศเกียรติบัตร (100 บาท x 620 ใบ)</t>
  </si>
  <si>
    <t xml:space="preserve"> จัดอบรมให้กับบุคคลากรเฉพาะด้านความรับผิดชอบต่อสังคมประจำโรงงาน เพื่อให้ความรู้และพัฒนาเกี่ยวกับการเป็นวิทยากรกระบวนการ (Facilitator) ในพื้นที่เป้าหมายการพัฒนาเมืองอุตสาหกรรมเชิงนิเวศ 15 จังหวัด จัดอบรมอย่างน้อย 1 ครั้ง/จังหวัด ครั้งละไม่น้อยกว่า 2 วัน มีผู้เข้าร่วมการอบรมไม่น้อยกว่า 50 คน</t>
  </si>
  <si>
    <t>- ค่าวิทยากร  (1,200 บาท x 7 ชั่วโมง x 15 ครั้ง x 2 วัน x 2 คน )</t>
  </si>
  <si>
    <t>- ค่าเอกสารประกอบการประชุม (70 บาท x 15 ครั้ง x 50 คน)</t>
  </si>
  <si>
    <t>- ค่าสถานที่จัดประชุม (5000 บาท x 15 ครั้ง x 2 วัน)</t>
  </si>
  <si>
    <t>- ค่าอาหารว่าง (2 มื้อ)  (100 บาท x 15 ครั้ง x 50 คน x 2 วัน)</t>
  </si>
  <si>
    <t>- ค่าอาหารกลางวัน  (1 มื้อ)  (500 บาท x 15 ครั้ง x 50 คน x 2 วัน)</t>
  </si>
  <si>
    <t>- ค่าเบี้ยเลี้ยงเจ้าหน้าที่ (240 บาท x จำนวน 5 คน 30 วัน)</t>
  </si>
  <si>
    <t>- ค่าที่พักเจ้าหน้าที่ (800 บาท x 5 ห้อง x 15 คืน)</t>
  </si>
  <si>
    <t>- ค่าเครื่องบินไป-กลับ (5000 บาท x  4 จังหวัด 2 คน )</t>
  </si>
  <si>
    <t>- ค่ารถโดยสาร (รถตู้รวมค่าน้ำมัน) (2500บาทx 30 วัน)</t>
  </si>
  <si>
    <t>3.17</t>
  </si>
  <si>
    <t>ค่าจัดทำเอกสารรายงาน</t>
  </si>
  <si>
    <t>1) แผนการดำเนินโครงการ 10 ฉบับ พร้อม CD-Rom 1 แผ่น (500 บาท x 10 ฉบับ)</t>
  </si>
  <si>
    <t>2) รายงานฉบับต้น 10 ฉบับ พร้อม CD-Rom 1 แผ่น(800 บาท x 10 ฉบับ)</t>
  </si>
  <si>
    <t>3) รายงานความก้าวหน้าฉบับกลาง 10 ฉบับ พร้อมแผ่นบันทึกข้อมูล 1 แผ่น(800 บาท x 10 ฉบับ)</t>
  </si>
  <si>
    <t>4) ร่างรายงานฉบับสมบูรณ์ 10 ฉบับ พร้อมแผ่นบันทึกข้อมูล 1 แผ่น(800 บาท x 10 ฉบับ)</t>
  </si>
  <si>
    <t>3.18</t>
  </si>
  <si>
    <t>รายงานฉบับสมบูรณ์(Final Report)</t>
  </si>
  <si>
    <t>1) รายงานฉบับสมบูรณ์ ภาษาไทย พร้อม แผ่นบันทึกข้อมูล (800 บาท x 10 ฉบับ)</t>
  </si>
  <si>
    <t>2) รายงานสรุปผู้บริหารเป็นภาษาไทย(500 บาท x 10 ฉบับ)</t>
  </si>
  <si>
    <t>3) รายงานสรุปผู้บริหารเป็นภาษาอังกฤษ(500 บาท x 10 ฉบับ)</t>
  </si>
  <si>
    <t>ค่าใช้จ่ายเบ็ดเตล็ด</t>
  </si>
  <si>
    <t>รายละเอียดค่าใช้จ่าย
โครงการปรับเปลี่ยนเครื่องจักรเพื่อเพิ่มประสิทธิภาพ</t>
  </si>
  <si>
    <t>ลำดับ</t>
  </si>
  <si>
    <t xml:space="preserve">ประสบการณ์
(ปี)
</t>
  </si>
  <si>
    <t xml:space="preserve">ระยะเวลา
(เดือน)
</t>
  </si>
  <si>
    <t xml:space="preserve">อัตราที่ตั้ง
</t>
  </si>
  <si>
    <t>คอลัมน์/...)</t>
  </si>
  <si>
    <t>2.1 โครงการช่วยเหลือและติดตามโรงงานที่ขาดการจัดการกากอุตสาหกรรม</t>
  </si>
  <si>
    <t>(1.1) บุคลากรหลัก</t>
  </si>
  <si>
    <t>15 ปี</t>
  </si>
  <si>
    <t xml:space="preserve"> 7 ปี</t>
  </si>
  <si>
    <t>3 ปี</t>
  </si>
  <si>
    <t xml:space="preserve"> 1 ปี</t>
  </si>
  <si>
    <t>(1.2) บุคลากรสนับสนุน</t>
  </si>
  <si>
    <t>(1.3) งบดำเนินการ</t>
  </si>
  <si>
    <t>จัดทำแผ่นพับประชาสัมพันธ์โครงการ ขนาด A5 สี่สี กระดาษอาร์ตมัน 130 gsm.  (5 บาท x 10000 แผ่น)</t>
  </si>
  <si>
    <t>จัดทำ Roll Up ประชาสัมพันธ์โครงการ (2000 บาท x 7 ชุด)</t>
  </si>
  <si>
    <t>ค่าเช่าสถานที่รวมอุปกรณ์สำนักงาน 7 ศูนย์ 7 เดือน</t>
  </si>
  <si>
    <t>ค่าเช่าอุปกรณ์คอมพิวเตอร์ เครื่องพิมพ์ หรือสิ่งอำนวยความสะดวกอื่นๆ ตามความเหมาะสม 7 ศูนย์ 7 เดือน</t>
  </si>
  <si>
    <t>ค่าเช่าโทรศัพท์มือถือติดต่อและค่าบริการ 7 ศูนย์ 7 เดือน</t>
  </si>
  <si>
    <t>ค่าอุปกรณ์สิ้นเปลืองต่างๆ และอื่นๆ (5000 บาท x 7 ศูนย์ x 7 เดือน)</t>
  </si>
  <si>
    <t>ค่าอาหาร  (500 บาท x 25 คน x 8 ครั้ง)</t>
  </si>
  <si>
    <t>ค่าอาหารว่างและเครื่องดื่ม (50 บาท x 25 คน x 2 มื้อ x 8 ครั้ง)</t>
  </si>
  <si>
    <t>ค่าวิทยากร (600 บาท x 6 ชม x 8 ครั้ง x 2 คน)</t>
  </si>
  <si>
    <t>ค่าห้องประชุม 8 ครั้ง</t>
  </si>
  <si>
    <t>ค่าเอกสาร (70 บาท x 20 ชุด x 8 ครั้ง)</t>
  </si>
  <si>
    <t>ค่าโดยสาร (รถตู้) +  ค่าน้ำมัน (2500 บาท x 2 วัน x 8 ครั้ง)</t>
  </si>
  <si>
    <t>ค่าพาหนะเดินทางโดยเครื่องบิน (5000 บาท x 5 คน x 3 ครั้ง)</t>
  </si>
  <si>
    <t>ค่าที่พัก (1200 บาท x 5 ห้อง x 1 คืน x 8 ครั้ง)</t>
  </si>
  <si>
    <t>(1.3.3) จัดสัมนาสัญจร 6 กลุ่มประสิทธิภาพและ กทม. รวมกันอย่างน้อย 7 ครั้ง ครั้งละ 100 คน</t>
  </si>
  <si>
    <t>ติดต่อประสานงานโรงงาน (100 บาท x 1,000 โรงงาน)</t>
  </si>
  <si>
    <t>ค่าอาหาร  (500 บาท x 100 คน x 7 ครั้ง)</t>
  </si>
  <si>
    <t>ค่าอาหารว่างและเครื่องดื่ม (50 บาท x 100 คน x 2 มื้อ x 7 ครั้ง)</t>
  </si>
  <si>
    <t>ค่าวิทยากร (1200 บาท x 6 ชม x 7 ครั้ง)</t>
  </si>
  <si>
    <t>ค่าห้องประชุม  (3500 บาท x 7 ครั้ง)</t>
  </si>
  <si>
    <t>ค่าเอกสาร (70 บาท x 100 คน x 7 ครั้ง)</t>
  </si>
  <si>
    <t>ค่าโดยสาร (รถตู้) +  ค่าน้ำมัน    (2500 บาท x 7 ครั้ง x 2 วัน)</t>
  </si>
  <si>
    <t>ค่าที่พัก (1200 บาท x 5 ห้อง x 1 คืน x 7 ครั้ง)</t>
  </si>
  <si>
    <t>(1.3.4) ดำเนินการให้คำปรึกษา แนะนำ ติดตามโรงงานเป้าหมาย ผ่านกิจกรรมการสนับสนุน ส่งเสริม ทำความเข้าใจ และช่วยเหลือในการจัดการกากอุตสาหกรรมให้ถูกต้องตามกฎหมายแก่โรงงานอุตสาหกรรมที่ขาดการจัดการกากอุตสาหกรรม จำนวนไม่น้อยกว่า 9,000 โรงงาน ครอบคลุมทั้ง 6 ภูมิภาค ทั่วประเทศ</t>
  </si>
  <si>
    <t>ติดต่อประสานงานโรงงาน โดยเจ้าหน้าที่ศูนย์ฯ ติดต่อ (100 บาท x 10,000 โรงงาน)</t>
  </si>
  <si>
    <t>เอกสารส่งไปรษณีย์ติดตามไปยังโรงงานเป้าหมาย (50 บาท x 10,000 โรงงาน)</t>
  </si>
  <si>
    <t>ค่าเช่ารถ รวมน้ำมัน (2500 บาท x 154 วัน)</t>
  </si>
  <si>
    <t xml:space="preserve">ค่าพาหนะเดินทางโดยเครื่องบิน (5000 บาท x 2 คน x 6 เดือน x 2 ครั้ง) </t>
  </si>
  <si>
    <t>ค่าที่พักผู้เชี่ยวชาญ (1200 บาท x 2 ห้อง x 2 คืน x 6 เดือน x 2 ครั้ง)</t>
  </si>
  <si>
    <t>เอกสารคำขออนุญาตและคู่มือประชาชน  (70 บาท x 9000 ชุด)</t>
  </si>
  <si>
    <t>การดำเนินการจัดสัมมนา+ประชุมกลุ่มย่อย (อย่างน้อย 20 ครั้ง อย่างน้อยครั้งละ 30 คน)</t>
  </si>
  <si>
    <t xml:space="preserve">   ค่าอาหาร  (500 บาท x 30 คน x 20 ครั้ง)</t>
  </si>
  <si>
    <t xml:space="preserve">   ค่าอาหารว่างและเครื่องดื่ม (50 บาท x 30 คน x 2 มื้อ x 20 ครั้ง)</t>
  </si>
  <si>
    <t xml:space="preserve">   ค่าห้องประชุม  (3500 บาท x 20 ครั้ง)</t>
  </si>
  <si>
    <t xml:space="preserve">   ค่าเอกสาร (70 บาท x 30 คน x 20 ครั้ง)</t>
  </si>
  <si>
    <t xml:space="preserve">   ค่าวิทยากร (1200 บาท x 6 ชม x 20 ครั้ง)</t>
  </si>
  <si>
    <t xml:space="preserve">   ค่าโดยสาร (รถตู้) +  ค่าน้ำมัน    (2500 บาท x 14 ครั้ง x 2 วัน)</t>
  </si>
  <si>
    <t xml:space="preserve">  'ค่าพาหนะเดินทางโดยเครื่องบิน (5000 บาท x 5 คน x 6 ครั้ง)</t>
  </si>
  <si>
    <t xml:space="preserve">   ค่าที่พัก (1200 บาท x 5 ห้อง x 1 คืน x 20 ครั้ง)</t>
  </si>
  <si>
    <t>ช่องทางการให้คำปรึกษา/แนะนำ/ประชาสัมพันธ์การรับรู้ของประชาชน โรงงาน หน่วยงานภาครัฐที่เกี่ยวข้องผ่านทางเว็บ (เหมาจ่าย)</t>
  </si>
  <si>
    <t>เหมาจ่าย</t>
  </si>
  <si>
    <t>(1.3.6) ค่าจัดทำรายงาน</t>
  </si>
  <si>
    <t xml:space="preserve"> - รายงานเบื้องต้น (600 บาท x 14 เล่ม)</t>
  </si>
  <si>
    <t xml:space="preserve"> - รายงานความก้าวหน้าครั้งที่ 1 (800 บาท x 14 เล่ม)</t>
  </si>
  <si>
    <t xml:space="preserve"> - รายงานความก้าวหน้าครั้งที่ 2 (1000 บาท x 14 เล่ม)</t>
  </si>
  <si>
    <t xml:space="preserve"> - รายงานความก้าวหน้าครั้งที่ 3 (1300 บาท x 14 เล่ม)</t>
  </si>
  <si>
    <t xml:space="preserve"> - รายงานฉบับสมบูรณ์</t>
  </si>
  <si>
    <t xml:space="preserve">    1) รายงานฉบับสมบูรณ์  (1700 บาท x 14 เล่ม)</t>
  </si>
  <si>
    <t xml:space="preserve">    2) รายงานสรุปสำหรับผู้บริหารภาษาไทยและภาษาอังกฤษ (600 บาท x 10 เล่ม)</t>
  </si>
  <si>
    <t xml:space="preserve">    3) ค่า CD รายงาน (10 บาท x 5 ชุด)</t>
  </si>
  <si>
    <t>(1.3.7) ค่าใช้จ่ายเบ็ดเตล็ด</t>
  </si>
  <si>
    <t>หมายเหตุ</t>
  </si>
  <si>
    <t>ประสบการณ์</t>
  </si>
  <si>
    <t>ระยะเวลา (เดือน)</t>
  </si>
  <si>
    <t>จำนวน</t>
  </si>
  <si>
    <t xml:space="preserve">จำนวน
</t>
  </si>
  <si>
    <t>(1.3.2) อบรมเจ้าหน้าที่สำนักงานอุตสาหกรรมจังหวัด กรมโรงงานอุตสาหกรรม และการนิคมอุตสาหกรรมแห่งประเทศไทย เพื่อให้มีความพร้อมในการแนะนำผู้ประกอบกิจการโรงงานให้สามารถปฏิบัติตามประกาศกระทรวงอุตสาหกรรม เรื่อง  การกำจัดสิ่งปฏิกูลหรือวัสดุที่ไม่ใช้แล้ว  พ.ศ. 2548 อย่างน้อย 8 ครั้ง ครั้งละไม่น้อยกว่า 20 คน</t>
  </si>
  <si>
    <t>(1.3.1) จัดตั้งศูนย์ความช่วยเหลือใน 6 กลุ่มประสิทธิภาพ และกรุงเทพมหานคร</t>
  </si>
  <si>
    <t xml:space="preserve">(1.3.5) สนับสนุนและผลักดันให้ รง. ต้องขอ สก.2 จำนวน 500 รง. </t>
  </si>
  <si>
    <t xml:space="preserve">จำนวนที่
ปรึกษา (คน)
</t>
  </si>
  <si>
    <t>7 ปี</t>
  </si>
  <si>
    <t xml:space="preserve"> - ผู้ประสานงานโครงการ</t>
  </si>
  <si>
    <t>1 ปี</t>
  </si>
  <si>
    <t>(1.3) ค่าใช้จ่ายที่ที่ปรึกษาดำเนินการ</t>
  </si>
  <si>
    <t>(1.3.1) ค่าจัดงานเชิญชวน รับสมัคร และคัดเลือกผู้เข้าร่วมโครงการ</t>
  </si>
  <si>
    <t xml:space="preserve">  - ค่าอาหารกลางวัน (500 บาท x 150 คน x 1 มื้อ)</t>
  </si>
  <si>
    <t xml:space="preserve">  - ค่าอาหารว่างและเครื่องดื่ม (50 บาท x 2 มื้อ x 150 คน)</t>
  </si>
  <si>
    <t xml:space="preserve">  - ค่าเอกสาร (100 บาท x 150 คน)</t>
  </si>
  <si>
    <t>(1.3.2) ค่าฝึกอบรมหลักสูตรผู้ตรวจประเมินระบบการจัดการสิ่งแวดล้อม (10 คน x30,000 บาท)</t>
  </si>
  <si>
    <t>(1.3.3) ค่าใช้จ่ายภาคสนาม (เข้าให้คำปรึกษา 2 ครั้ง + 1 ครั้ง ตรวจประเมิน 40 โรงงาน)</t>
  </si>
  <si>
    <t xml:space="preserve"> - ค่าที่พัก (ครั้งละ 2 คืน*3 ครั้ง/โรงงาน*40 โรงงาน* 4 คน/โรงงาน ) คืนละ 1,000 บาท </t>
  </si>
  <si>
    <t>- ค่าเบี้ยเลี้ยง (ครั้งละ 2 วัน*3 ครั้ง/โรงงาน*40 โรงงาน * 4 คน/โรงงาน ) วันละ 240 บาท-วัน</t>
  </si>
  <si>
    <t xml:space="preserve"> - ค่าพาหนะ (ครั้งละ 2 วัน*3 ครั้ง/โรงงาน*40 โรงงาน รถตู้ +ค่าเชื้อเพลิง 2500 บาท)</t>
  </si>
  <si>
    <t>(1.3.4) ค่าใช้จ่ายภาคสนาม (1 ครั้ง ตรวจประเมิน 10 โรงงาน)</t>
  </si>
  <si>
    <t xml:space="preserve"> - ค่าที่พัก (ครั้งละ 1 คืน*1 ครั้ง/โรงงาน*10 โรงงาน* 4 คน/โรงงาน ) คืนละ 1,000 บาท </t>
  </si>
  <si>
    <t>- ค่าเบี้ยเลี้ยง (ครั้งละ 2 วัน*1 ครั้ง/โรงงาน*10 โรงงาน * 4 คน/โรงงาน ) วันละ 240 บาท-วัน</t>
  </si>
  <si>
    <t xml:space="preserve"> - ค่าพาหนะ (ครั้งละ 2 วัน*1 ครั้ง/โรงงาน*10 โรงงาน รถตู้ +ค่าเชื้อเพลิง 2500 บาท)</t>
  </si>
  <si>
    <t>(1.3.5) ค่าใช้จ่ายในการสรุปผลโครงการและมอบรางวัลแก่โรงงาน</t>
  </si>
  <si>
    <t xml:space="preserve"> - ค่าอาหารกลางวัน (500 บาท x 150 คน x 1 มื้อ)</t>
  </si>
  <si>
    <t xml:space="preserve"> - ค่าอาหารว่างและเครื่องดื่ม (50 บาท x 2 มื้อ x 150 คน)</t>
  </si>
  <si>
    <t xml:space="preserve"> - ค่าเอกสาร (ชุดละ 100 บาท x 150 ชุด)</t>
  </si>
  <si>
    <t xml:space="preserve"> - ค่าจัดทำโล่ประกาศระดับรางวัล (85 ชิ้น x 2000 บาท)</t>
  </si>
  <si>
    <t xml:space="preserve"> - ค่าจัดทำเอกสารเผยแพร่ความสำเร็จของโรงงานที่ได้รับรางวัล (1000 บาท x 150 เล่ม)</t>
  </si>
  <si>
    <t xml:space="preserve"> - ค่าจัดทำเอกสารเผยแพร่หลักปฏิบัติการจัดการของเสียที่ดี (1200 บาท x 150 เล่ม)</t>
  </si>
  <si>
    <t>(1.3.6) จัดทำรายงาน</t>
  </si>
  <si>
    <t xml:space="preserve"> - รายงานฉบับเบื้องต้น  (9 เล่ม x 600 บาท)</t>
  </si>
  <si>
    <t xml:space="preserve"> - รายงานความก้าวหน้าครั้งที่ 1 (9 เล่ม x 800 บาท)</t>
  </si>
  <si>
    <t xml:space="preserve"> - รายงานความก้าวหน้าครั้งที่ 2 (9 เล่ม x 800บาท)</t>
  </si>
  <si>
    <t xml:space="preserve"> - รายงานความก้าวหน้าครั้งที่ 3 (9 เล่ม x 800บาท)</t>
  </si>
  <si>
    <t xml:space="preserve"> - รายงานฉบับฉบับสมบูรณ์และรายงานสรุปผู้บริหาร (20 เล่ม x 1,200บาท)</t>
  </si>
  <si>
    <t xml:space="preserve">(1.3.5) การดำเนินการเผยแพร่โครงการ เช่น สถานีโทรทัศน์ สถานีวิทยุ สื่อสิ่งพิมพ์ แผ่นพับ สื่ออิเล็กทรอนิกส์ เว็ปไซด์โครงการ วัสดุสิ้นเปลือง แผ่นดิสก์/CD/ค่าอัดภาพ  </t>
  </si>
  <si>
    <t>(1.3.6) ค่าใช้จ่ายเบ็ดเตล็ด</t>
  </si>
  <si>
    <t>(1.4) ค่าใช้จ่ายที่ดำเนินการเอง</t>
  </si>
  <si>
    <t>ค่าตรวจติดตามโรงงานเพื่อรักษารางวัลระดับเหรียญทอง (1 ครั้ง 35 โรงงาน)</t>
  </si>
  <si>
    <t xml:space="preserve"> - ค่าที่พัก (ครั้งละ 1 คืน*1 ครั้ง/โรงงาน*35 โรงงาน* 3 คน/โรงงาน ) คืนละ 800 บาท </t>
  </si>
  <si>
    <t>- ค่าเบี้ยเลี้ยงเจ้าหน้าที่ (ครั้งละ 2 วัน*1 ครั้ง/โรงงาน*35 โรงงาน * 3 คน/โรงงาน ) วันละ 240 บาท-วัน</t>
  </si>
  <si>
    <t xml:space="preserve"> - ค่าพาหนะ (ครั้งละ 2 วัน*1 ครั้ง/โรงงาน*35 โรงงาน รถตู้ +ค่าเชื้อเพลิง 2500 บาท)</t>
  </si>
  <si>
    <t xml:space="preserve"> - ค่าพาหนะ (35 โรงงาน x 3 คน x 500 บาท )</t>
  </si>
  <si>
    <t>รายละเอียดกิจกรรม</t>
  </si>
  <si>
    <t xml:space="preserve"> 10 ปี</t>
  </si>
  <si>
    <t>10 ปี</t>
  </si>
  <si>
    <t xml:space="preserve"> 5 ปี</t>
  </si>
  <si>
    <t>(1.3.1) ค่าใช้จ่ายในการจัดประชุมรับฟังความคิดเห็น</t>
  </si>
  <si>
    <t xml:space="preserve"> - ค่าอาหาร (500 บาท x 50 คน x 1มื้อ)</t>
  </si>
  <si>
    <t>500x50x1</t>
  </si>
  <si>
    <t xml:space="preserve"> - ค่าอาหารว่างและเครื่องดื่ม ( 50 บาท x 50 คนx 2 มื้อ )</t>
  </si>
  <si>
    <t>50x50x2</t>
  </si>
  <si>
    <t xml:space="preserve"> - ค่าเอกสาร (ชุดละ 100 บาท x 50 ชุด)</t>
  </si>
  <si>
    <t>100x50</t>
  </si>
  <si>
    <t>5000x1</t>
  </si>
  <si>
    <t>(1.3.2) ค่าจัดประชุม/อบรม การใช้งานระบบกลุ่มผู้ประกอบการ</t>
  </si>
  <si>
    <t xml:space="preserve"> - ค่าวิทยากร (2 คน x3 ชม.x 1,200 บาท)</t>
  </si>
  <si>
    <t>2x3x1200</t>
  </si>
  <si>
    <t xml:space="preserve"> - ค่าเช่าห้องประชุมและโสตทัศนนูปกรณ์</t>
  </si>
  <si>
    <t>(1.3.3) ค่าจัดประชุม/อบรม การใช้งานระบบกลุ่มเจ้าหน้าที่</t>
  </si>
  <si>
    <t xml:space="preserve"> - ค่าอาหาร (500 บาท x 20 คน x 1มื้อ)</t>
  </si>
  <si>
    <t>500x20x1</t>
  </si>
  <si>
    <t xml:space="preserve"> - ค่าอาหารว่างและเครื่องดื่ม ( 50 บาท x 20 คนx 2 มื้อ )</t>
  </si>
  <si>
    <t>50x20x2</t>
  </si>
  <si>
    <t xml:space="preserve"> - ค่าเอกสาร (ชุดละ 100 บาท x 20 ชุด)</t>
  </si>
  <si>
    <t>100x20</t>
  </si>
  <si>
    <t>(1.3.4) จัดทำรายงาน</t>
  </si>
  <si>
    <t xml:space="preserve"> - รายงานฉบับเบื้องต้น  (9 เล่ม x 500 บาท)</t>
  </si>
  <si>
    <t>500x9</t>
  </si>
  <si>
    <t>800x9</t>
  </si>
  <si>
    <t xml:space="preserve"> - รายงานความก้าวหน้าครั้งที่ 2 (9 เล่ม x 800 บาท)</t>
  </si>
  <si>
    <t xml:space="preserve">800 x 9 </t>
  </si>
  <si>
    <t xml:space="preserve"> - รายงานความก้าวหน้าครั้งที่ 3 (9 เล่ม x 800 บาท)</t>
  </si>
  <si>
    <t xml:space="preserve"> - รายงานฉบับฉบับสมบูรณ์และรายงานสรุปสำหรับผู้บริหาร   (14 เล่ม x 1,200 บาท)</t>
  </si>
  <si>
    <t xml:space="preserve">14 x 1,200 </t>
  </si>
  <si>
    <t>(1.3.5) ค่าบำรุงรักษาระบบ/อุปกรณ์</t>
  </si>
  <si>
    <t>110,000x1</t>
  </si>
  <si>
    <t>45000x1</t>
  </si>
  <si>
    <t xml:space="preserve">(1.3.7) ค่าปรับปรุงระบบงานเดิม </t>
  </si>
  <si>
    <t>(1.3.8) ค่าพัฒนาปรับปรุง โปรแกรมการเชื่อมโยงระบบต่างๆที่เกี่ยวข้อง</t>
  </si>
  <si>
    <t xml:space="preserve">      (1.3.9) ค่าใช้จ่ายเบ็ดเตล็ด</t>
  </si>
  <si>
    <t>งบบุคลากร</t>
  </si>
  <si>
    <t>(1.3.6) การดำเนินการเผยแพร่โครงการ เช่น สื่อสิ่งพิมพ์ แผ่นพับสื่ออิเล็กทรอนิกส์ เว็ปไซด์โครงการ วัสดุสิ้นเปลือง แผ่นดิสก์ /CD/ ค่าอัดภาพ</t>
  </si>
  <si>
    <t>ต่อครั้ง</t>
  </si>
  <si>
    <t>2.4 โครงการพัฒนาศักยภาพการใช้ประโยชน์กากของเสีย</t>
  </si>
  <si>
    <t>ป.โท / 15 ปี</t>
  </si>
  <si>
    <t>ป.โท / 7 ปี</t>
  </si>
  <si>
    <t>ป.ตรี / 3 ปี</t>
  </si>
  <si>
    <t>ป.ตรี / 1 ปี</t>
  </si>
  <si>
    <t xml:space="preserve">    (1.3.1) ค่าชี้แจงรายละโครงการและรับสมัครโรงงาน</t>
  </si>
  <si>
    <t xml:space="preserve">  - จดหมายเชิญชวน (เหมาจ่าย)</t>
  </si>
  <si>
    <t xml:space="preserve">    (1.3.2) ค่าใช้จ่ายภาคสนาม (เข้าให้คำปรึกษา 2 ครั้ง                 และตรวจประเมิน 1 ครั้ง)</t>
  </si>
  <si>
    <t xml:space="preserve"> - ค่าที่พัก (ครั้งละ 2 คืน*3 ครั้ง/โรงงาน*50 โรงงาน* 3 คน/โรงงาน ) คืนละ 1,000 บาท x 3 คน</t>
  </si>
  <si>
    <t>2x3x50x3x1000</t>
  </si>
  <si>
    <t>- ค่าเบี้ยเลี้ยง (ครั้งละ 2 วัน*3 ครั้ง/โรงงาน*50 โรงงาน * 3 คน/โรงงาน ) วันละ 240 บาท-วัน</t>
  </si>
  <si>
    <t>2x3x50x3x240</t>
  </si>
  <si>
    <t xml:space="preserve"> - ค่าพาหนะ (ครั้งละ 2 วัน*3 ครั้ง/โรงงาน*50 โรงงาน รถตู้ +ค่าเชื้อเพลิง 2,500 บาท)</t>
  </si>
  <si>
    <t>2x3x50x2500</t>
  </si>
  <si>
    <t xml:space="preserve">    (1.3.3) จัดประชุมกลุ่มย่อยเพื่อแลกเปลี่ยนผลการดำเนินงาน ประมาณ 70 คน</t>
  </si>
  <si>
    <t xml:space="preserve">  - ค่าอาหารกลางวัน (500 บาท x 50 คน x 1 มื้อ) 50 รง.</t>
  </si>
  <si>
    <t xml:space="preserve">  - ค่าอาหารว่างและเครื่องดื่ม (50 บาท x 2 มื้อ x 50 คน)</t>
  </si>
  <si>
    <t xml:space="preserve">  - ค่าเอกสาร (100 บาท x 50 คน)</t>
  </si>
  <si>
    <t>(1.3.4) ค่าใช้จ่ายในการเผยแพร่ผลสรุปโครงการ</t>
  </si>
  <si>
    <t xml:space="preserve"> - ค่าเอกสาร (ชุดละ100 บาท x 150 ชุด)</t>
  </si>
  <si>
    <t xml:space="preserve"> - ค่าจัดทำเอกสารเผยแพร่ความสำเร็จของโรงงานที่ได้รับรางวัล (350 บาท x 250 เล่ม)</t>
  </si>
  <si>
    <t>(1.3.5) จัดทำรายงาน</t>
  </si>
  <si>
    <t xml:space="preserve"> - รายงานฉบับเบื้องต้น  (8 เล่ม x 600 บาท)</t>
  </si>
  <si>
    <t xml:space="preserve"> - รายงานความก้าวหน้าครั้งที่ 1 (8 เล่ม x 800 บาท)</t>
  </si>
  <si>
    <t xml:space="preserve"> - รายงานความก้าวหน้าครั้งที่ 2 (8 เล่ม x 800บาท)</t>
  </si>
  <si>
    <t xml:space="preserve"> - ร่างรายงานฉบับสมบูรณ์ (8 เล่ม x 1,000บาท)</t>
  </si>
  <si>
    <t xml:space="preserve"> - รายงานฉบับฉบับสมบูรณ์และรายงานสรุปผู้บริหาร            (10 เล่ม x 1,200บาท)</t>
  </si>
  <si>
    <t xml:space="preserve"> (1.3.6)  ค่าใช้จ่ายในการศึกษาศักยภาพของเสียที่สามารถนำไปใช้ในรูปแบบพลังงาน (การหาข้อมูลทั้งปฐมภูมิและทุติยภูมิ) </t>
  </si>
  <si>
    <t>การวิเคราะห์ทดสอบของเสียที่สนใจหรือที่สามารถมีแนวโน้มนำมาใช้ในรูปแบบพลังงาน</t>
  </si>
  <si>
    <t>การวิเคราะห์ข้อมูลทั้งข้อมูลปฐมภูมิและทุติยภูมิ (เหมาจ่าย)</t>
  </si>
  <si>
    <t xml:space="preserve">     (1.3.7) การดำเนินการเผยแพร่โครงการ เช่น สื่อสิ่งพิมพ์ แผ่นพับสื่ออิเล็กทรอนิกส์ เว็ปไซด์โครงการ วัสดุสิ้นเปลือง แผ่นดิสก์ /CD/ ค่าอัดภาพ</t>
  </si>
  <si>
    <t>50000x1</t>
  </si>
  <si>
    <t>ค่า CD บันทึกข้อมูลคู่มือและรายงานความก้าวหน้าทุกฉบับ</t>
  </si>
  <si>
    <t>ค่าแผ่นพับ (แผ่นละ 2 บาท x500 แผ่น)</t>
  </si>
  <si>
    <t>ค่าเว็บไซต์โครงการฯ ตลอดระยะเวลาโครงการ</t>
  </si>
  <si>
    <t xml:space="preserve">จัดทำวีดีทัศน์สรุปผลการดำเนินงาน ความยาวไม่เกิน 5 นาที </t>
  </si>
  <si>
    <t xml:space="preserve"> - ค่าบรรยาย ค่าพากษ์ (2 คน คนละ 2000 บาท)</t>
  </si>
  <si>
    <t xml:space="preserve"> - ค่าช่างภาพโทรทัศน์ (2 คน คนละ 2000 บาท)</t>
  </si>
  <si>
    <t xml:space="preserve"> - ค่าควบคุมเสียง (2คน x 1000 บาท)</t>
  </si>
  <si>
    <t xml:space="preserve"> - ค่าควบคุมแสง (2คน x 1000 บาท)</t>
  </si>
  <si>
    <t xml:space="preserve"> - ค่าผู้แผลิตดนตรีและเพลง (แต่งทำนอง)</t>
  </si>
  <si>
    <t xml:space="preserve"> - ค่าผู้แผลิตดนตรีและเพลง (เรียบเรียงเสียงประสาน)</t>
  </si>
  <si>
    <t xml:space="preserve"> - ค่าบทวิดีทัศน์ ไม่เกิน 5 นาที</t>
  </si>
  <si>
    <t xml:space="preserve"> - ค่าเขียนคู่มือ/ค่าเขียนเอกสารประกอบหน้า A4 (6 หน้า หน้าละ 300 บาท)</t>
  </si>
  <si>
    <t xml:space="preserve"> - ค่าผู้จัดรวบรวมข้อมูล ไม่เกิน 3 นาที 1 รายการ</t>
  </si>
  <si>
    <t xml:space="preserve"> - ค่าผู้ตัดต่อวิดีทัศน์ (3วัน วันละ 3000 บาท)</t>
  </si>
  <si>
    <t xml:space="preserve"> - ค่าออกแบบและจัดทำภาพคอมพิวเตอร์กราฟฟิกแบบแบบเคลื่อนไหว (4 นาที วินาทีละ 300 บาท)</t>
  </si>
  <si>
    <t xml:space="preserve"> - ค่าตอบแทนในการออกแบบฉาก (3 ฉาก ฉากละ 4500 บาท)</t>
  </si>
  <si>
    <t>ค่า pop up</t>
  </si>
  <si>
    <t>ค่า roll up</t>
  </si>
  <si>
    <t xml:space="preserve"> 15 ปี</t>
  </si>
  <si>
    <t xml:space="preserve"> 3 ปี</t>
  </si>
  <si>
    <t xml:space="preserve"> 2 ปี</t>
  </si>
  <si>
    <t xml:space="preserve">    (1.3.1) ประชาสัมพันธ์และเผยแพร่ข้อมูลโครงการ</t>
  </si>
  <si>
    <t>- จัดทำแผ่นพับ (แผ่นละ 5 บาท x200 แผ่น)</t>
  </si>
  <si>
    <t>- จัดทำเว็บไซต์ประชาสัมพันธ์และเผยแพร่ข้อมูลโครงการฯ</t>
  </si>
  <si>
    <t xml:space="preserve">   (1.3.2) ชี้แจงรายละเอียดโครงการ</t>
  </si>
  <si>
    <t>- ค่าอาหารกลางวัน (500 บาท/มื้อ)</t>
  </si>
  <si>
    <t>- ค่าอาหารว่างและเครื่องดื่ม (50 บาท x 2 มื้อ x 80 คน)</t>
  </si>
  <si>
    <t>- ค่าเอกสาร (100 บาท/ชุด)</t>
  </si>
  <si>
    <t>- ค่าเช่าอุปกรณ์การประชุม</t>
  </si>
  <si>
    <t xml:space="preserve">    (1.3.3) ค่าใช้จ่ายภาคสนาม (เข้าให้คำปรึกษา 3 ครั้ง)                 </t>
  </si>
  <si>
    <t xml:space="preserve"> - ค่าที่พัก (ครั้งละ 1 คืน*3 ครั้ง/โรงงาน*20 โรงงาน* 3 คน/โรงงาน ) คืนละ 1,200 บาท</t>
  </si>
  <si>
    <t>- ค่าเบี้ยเลี้ยง (ครั้งละ 2 วัน*3 ครั้ง/โรงงาน*20 โรงงาน * 3 คน/โรงงาน ) วันละ 240 บาท-วัน</t>
  </si>
  <si>
    <t xml:space="preserve"> - ค่าพาหนะ (ครั้งละ 2 วัน*3 ครั้ง/โรงงาน*20 โรงงาน รถตู้ +ค่าเชื้อเพลิง 2500 บาท</t>
  </si>
  <si>
    <t>(1.3.4) จัดพิธีมอบรางวัล/สัมมนาเผยแพร่ผลการดำเนินงาน  (จำนวน 100 คน)</t>
  </si>
  <si>
    <t xml:space="preserve"> - ค่าอาหารกลางวัน (500 บาท x 100 คน x 1 มื้อ)</t>
  </si>
  <si>
    <t xml:space="preserve"> - ค่าอาหารว่างและเครื่องดื่ม (50 บาท x 2 มื้อ x 100 คน)</t>
  </si>
  <si>
    <t xml:space="preserve"> - ค่าเอกสาร (ชุดละ 100 บาท x 100 ชุด)</t>
  </si>
  <si>
    <t>- ค่าจัดทำประกาศนียบัตร 20 โรงงาน</t>
  </si>
  <si>
    <t>- ค่าจัดทำโล่ประกาศระดับรางวัล 20 โรงงาน</t>
  </si>
  <si>
    <t>- ค่าจัดทำเอกสารเผยแพร่ความสำเร็จของโรงงานที่ได้รับรางวัล 150 ชุด</t>
  </si>
  <si>
    <t>- ค่าจัดทำเอกสารเผยแพร่หลักปฏิบัติการจัดการซากผลิตภัณฑ์ฯ 150 ชุด</t>
  </si>
  <si>
    <t>(1.3.5) ค่าจัดทำรายงาน</t>
  </si>
  <si>
    <t>- รายงานฉบับต้น</t>
  </si>
  <si>
    <t>- รายงานความก้าวหน้าครั้งที่ 1</t>
  </si>
  <si>
    <t>- รายงานความก้าวหน้าครั้งที่ 2</t>
  </si>
  <si>
    <t xml:space="preserve">- รายงานฉบับสมบูรณ์ </t>
  </si>
  <si>
    <t>- รายงานสรุปผู้บริหารทั้งภาษาไทยและภาษาอังกฤษ (อย่างละ 20 เล่ม)</t>
  </si>
  <si>
    <t>โครงการเพิ่มประสิทธิภาพโรงงานคัดแยกและรีไซเคิลซากผลิตภัณฑ์ไฟฟ้าและอิเล็กทรอนิกส์</t>
  </si>
  <si>
    <t xml:space="preserve">  (กรมโรงงานอุตสาหกรรม งบประมาณ 11.6167 ล้านบาท)</t>
  </si>
  <si>
    <t>โครงการส่งเสริม พัฒนา สถานประกอบการเข้าสู่อุตสาหกรรมสีเขียว</t>
  </si>
  <si>
    <t>1.1) ค่าตอบแทนผู้จัดการโครงการ (ป.โท ประสบการณ์ 10 ปี) (1 คน x 80,000 บาท/เดือน x8 เดือน)</t>
  </si>
  <si>
    <t>1.2) ค่าตอบแทนผู้เชี่ยวชาญด้านสิ่งแวดล้อม ความปลอดภัยและอาชีวอนามัย (ป.โท ประสบการณ์ 10 ปี) (2 คนx 50,000 บาท/เดือนx 6 เดือน)</t>
  </si>
  <si>
    <t>1.3) ค่าตอบแทนผู้เชี่ยวชาญด้านเศรษฐกิจและสังคม (ป.โท ประสบการณ์ 10 ปี) (1 คนx 50,000 บาท/เดือนx 6 เดือน)</t>
  </si>
  <si>
    <t>1.4) ค่าตอบแทนผู้เชี่ยวชาญด้านสถิติและเทคโนโลยีสารสนเทศ(ป.โท ประสบการณ์ 10 ปี) (1 คน x 50,000 บาท/เดือนx 6 เดือน )</t>
  </si>
  <si>
    <t>1.5) ค่าตอบแทนผู้เชี่ยวชาญด้านการจัดกากอุตสาหกรรม (ป.โท ประสบการณ์ 10 ปี) (1 คน x 50,000 บาท/เดือนx 6 เดือน)</t>
  </si>
  <si>
    <t>1.6) ค่าตอบแทนผู้เชี่ยวชาญด้านการวางแผนพัฒนา (ป.โท ประสบการณ์ 10 ปี) (1 คน x 50,000 บาท/เดือนx 6 เดือน)</t>
  </si>
  <si>
    <t>1.7) ค่าตอบแทนวิศวกร/นักวิทยาศาสตร์ด้านสิ่งแวดล้อม(ป.ตรี ประสบการณ์ 3 ปี) (5 คน x 30,000 บาท/เดือนx 8 เดือน)</t>
  </si>
  <si>
    <t xml:space="preserve"> - ค่าตอบแทนเจ้าหน้าที่สนับสนุนโครงการ   ป.ตรี ประสบการณ์ 2 ปี (4 คนx 15,000 บาท/เดือนx 9 เดือน)</t>
  </si>
  <si>
    <t xml:space="preserve"> - ค่าตอบแทนผู้ประสานงานโครงการ   ป.ตรี ประสบการณ์ 3 ปี (2 คนx 15,000 บาท/เดือนx 9 เดือน)</t>
  </si>
  <si>
    <t xml:space="preserve"> - ค่าตอบแทนเจ้าหน้าที่สนับสนุนโครงการ (ประจำกรมโรงงาน)  ป.ตรี ประสบการณ์ 3 ปี (1 คนx 20,000 บาท/เดือนx 9 เดือน)</t>
  </si>
  <si>
    <t>ศึกษาและรวบรวมข้อมูลโรงงานอุตสาหกรรม เพื่อจัดทำฐานข้อมูลการไหลของวัตถุดิบ ของโรงงานเป้าหมาย โดยต้องจัดทำฐานข้อมูลในรูปแบบอิเล็กทรอนิกส์ไฟล์ เพื่อนำไปสู่การหาโอกาสการแลกเปลี่ยนของเสียในอนาคตอย่างน้อย 120 โรงงาน (ระยะทางไกล)</t>
  </si>
  <si>
    <t>1) เบี้ยเลี้ยงเจ้าหน้าที่ (5 ทีม x ทีมละ24 โรงงาน xโรงงานละ 2 วัน x ทีมละ 2 คน x 240 บาท)</t>
  </si>
  <si>
    <t>2) ค่าเดินทางเจ้าหน้าที่ เช่ารถรวมค่าน้ำมัน (5 คัน x คันละ 24 โรงงาน x โรงงานละ 2 วัน x วันละ 2500 บาท)</t>
  </si>
  <si>
    <t xml:space="preserve">3) ค่าจัดทำรายงาน (120 โรงงาน  x โรงงานละ 1 ชุด x ชุดละ 250 บาท)  </t>
  </si>
  <si>
    <t>4) ค่าอุปกรณ์จัดทำฐานข้อมูลในรูปอิเล็กทรอนิกส์ไฟล์</t>
  </si>
  <si>
    <t>4.1) แท็บเล็ต (15,000 บาท x 20 เครื่อง)</t>
  </si>
  <si>
    <t>4.2) คอมพิวเตอร์แท็บเล็ตสำหรับประมวลผล(30,000 1เครื่อง)</t>
  </si>
  <si>
    <t>ให้คำแนะนำปรึกษาเชิงลึกหรือเขียนแผนการปรับปรุงหรือช่วยจัดเตรียมเอกสารในการปรับปรุงยกระดับให้กับโรงงานอุตสาหกรรมที่รับสมัครคัดเลือในด้านสิ่งแวดล้อม ความปลอดภัย แผนชุมชน การอนุรักษ์ทรัพยากรหรือพลังงาน ด้านใดด้านหนึ่งให้กับโรงงานที่เข้าร่วมโครงการอย่างน้อย 120 โรงงาน</t>
  </si>
  <si>
    <t>1) เบี้ยเลี้ยงเจ้าหน้าที่ (5 ทีม x ทีมละ24 โรงงาน xโรงงานละ 2 ครั้ง ครั้งละ 3วัน x ทีมละ 2 คน x 240 บาท)</t>
  </si>
  <si>
    <t>2) ค่าเดินทางเจ้าหน้าที่ เช่ารถรวมค่าน้ำมัน (5 คัน x คันละ 24 โรงงาน x โรงงานละ 2 ครั้ง xครั้งละ 3 วัน x วันละ 2500 บาท)</t>
  </si>
  <si>
    <t xml:space="preserve">3) ค่าที่พักเจ้าหน้าที่และผู้เชี่ยวชาญ (5 ทีม x ทีมละ 24 โรงงาน x โรงงานละ 2 ครั้ง x ครั้งละ 2 ห้อง x ห้องละ 2 คืน x คืนละ 1200 บาท ) </t>
  </si>
  <si>
    <t>4) ค่าให้คำปรึกษาเชิงลึกของเจ้าหน้าที่ (5 ทีม x ทีมละ 24 โรงงาน xโรงงานละ 2 ครั้ง x ครั้งละ 3 วัน ครั้งละ 2000 บาท (อ้างอิงจากโครงการ GI-ทีมละ2000 บาท)</t>
  </si>
  <si>
    <t xml:space="preserve">5) ค่าจัดทำรายงาน (120 โรงงาน  x โรงงานละ 1 ชุด x ชุดละ 250 บาท)  </t>
  </si>
  <si>
    <t>สุ่มติดตามประเมินผลการปรับปรุงของโรงงานอุตสาหกรรมที่เข้าร่วมอย่างน้อย 20 โรงงาน</t>
  </si>
  <si>
    <t>1) เบี้ยเลี้ยงเจ้าหน้าที่ (4 ทีม x ทีมละ 5 โรงงาน xโรงงานละ 1 ครั้ง ครั้งละ 3 วัน x ทีมละ 2 คน x 240 บาท)</t>
  </si>
  <si>
    <t>2) ค่าเดินทางเจ้าหน้าที่ เช่ารถรวมค่าน้ำมัน (4 คัน x คันละ 5 โรงงาน x โรงงานละ 1 ครั้ง xครั้งละ 3 วัน x วันละ 2500 บาท)</t>
  </si>
  <si>
    <t>3) ค่าที่พักผู้สุ่มทวนสอบ (4 ทีม x ทีมละ 5 โรงงาน x โรงงานละ 1 ครั้ง x ครั้งละ 2 ห้อง x ห้องละ 2 คืน x คืนละ 1200 บาท )</t>
  </si>
  <si>
    <t xml:space="preserve">4) ค่าจัดทำรายงาน (20 โรงงาน  x โรงงานละ 1 ชุด x ชุดละ 250 บาท)  </t>
  </si>
  <si>
    <t>5) ค่าใช้จ่ายอื่นๆ</t>
  </si>
  <si>
    <t>คัดเลือกโรงงานอุตสาหกรรมที่มีมาตรฐานน้อยกว่า มาตรฐาน GI 2 หรือมาตรฐานอื่นที่เทียบเท่า เข้าร่วมกิจกรรมให้คำแนะนำปรึกษาเชิงลึกในการปรับปรุงยกระดับให้กับโรงงานอุตสาหกรรม โดยเจ้าหน้าที่จากกรมโรงงานอุตสาหกรรม จำนวนไม่น้อยกว่า 20 โรงงาน (กรมโรงงานอุตสาหกรรมดำเนินการเอง)</t>
  </si>
  <si>
    <t>1) เบี้ยเลี้ยงเจ้าหน้าที่ (4 ทีม x ทีมละ 5 โรงงาน xโรงงานละ 1 ครั้ง ครั้งละ 3 วัน x ทีมละ 3 คน x 240 บาท)</t>
  </si>
  <si>
    <t>3)ค่าที่พักเจ้าหน้าที่ (4 ทีม x ทีมละ 5 โรงงาน x โรงงานละ 1 ครั้ง x ครั้งละ 3 ห้อง x ห้องละ 2 คืน x คืนละ 1200 บาท )</t>
  </si>
  <si>
    <t>จัดงานประกาศความสำเร็จของพื้นที่เป้าหมาย 7 จังหวัด ในการเป็นเมืองอุตสาหกรรมเชิงนิเวศ ระดับ 2 ในส่วนภาคอุตสาหกรรม โดยให้มีการสัมมนาเผยแพร่แนวคิดเมืองอุตสาหกรรมเชิงนิเวศ และผลงานการพัฒนาอุตสาหกรรมเชิงนิเวศ</t>
  </si>
  <si>
    <t>1) ค่าสถานที่ พร้อมตกแต่งและสิ่งอำนวยความสะดวก(จุคน 300 คน อ้างอิงราคาเฉลี่ยใช้สถานที่โรงแรม)</t>
  </si>
  <si>
    <t>2) พิธีกร (1 คน /1 ครั้ง) (เกิน 60 นาที)</t>
  </si>
  <si>
    <t>3) ค่าเอกสารประกอบการประชุม (200 บาท x 300 คน)</t>
  </si>
  <si>
    <t>4) ค่าอาหารว่าง (300 คน x 2 มื้อ x 50 บาท)</t>
  </si>
  <si>
    <t>5) ค่าอาหารกลางวัน (550บาท x 300 คน)</t>
  </si>
  <si>
    <t>6) ค่าวิทยากร (4 คน x คนละ 3 ชั่วโมง x ชั่วโมงละ 1600)</t>
  </si>
  <si>
    <t xml:space="preserve">7) เบี้ยเลี้ยงเจ้าหน้าที่เตรียมงาน (10 คน x คนละ 240 บาท) </t>
  </si>
  <si>
    <t>ค่าจัดทำรายงาน</t>
  </si>
  <si>
    <t>1) แผนการดำเนินโครงการ 12 ฉบับ พร้อม DVD-Rom 12 แผ่น (215 บาท x 12 ฉบับ)</t>
  </si>
  <si>
    <t>2) รายงานสรุปการดำเนินโครงการฉบับต้น 12 ฉบับ พร้อม DVD-Rom 12 แผ่น</t>
  </si>
  <si>
    <t xml:space="preserve"> 3) รายงานสรุปการดำเนินโครงการฉบับกลาง 12 ฉบับ พร้อม DVD-Rom 12 แผ่น</t>
  </si>
  <si>
    <t>4) ร่างรายงานฉบับสมบูรณ์ 12 ฉบับ พร้อม DVD-Rom 12 แผ่น</t>
  </si>
  <si>
    <t>5) รายงานฉบับสมบูรณ์ ภาษาไทย 12 ฉบับ พร้อม DVD-Rom 12 แผ่น</t>
  </si>
  <si>
    <t>6) รายงานสรุปสำหรับผู้บริหารภาษาไทย</t>
  </si>
  <si>
    <t xml:space="preserve"> 7) รายงานสรุปสำหรับผู้บริหารภาษาอังกฤษ</t>
  </si>
  <si>
    <t>โครงการจัดทำฐานข้อมูลเพื่อการแลกเปลี่ยนทรัพยากรร่วมกัน (symbiosis) และยกระดับโรงงานอุตสาหกรรมในพื้นที่เมืองอุตสาหกรรมเชิงนิเวศ 8 จังหวัดในพื้นที่เป้าหมาย</t>
  </si>
  <si>
    <t xml:space="preserve">(จังหวัดระยอง สมุทรปราการ สมุทรสาคร ฉะเชิงเทรา ปราจีนบุรี ชลบุรี นครปฐม และปทุมธานี) เพื่อเป็นเมืองอุตสาหกรรมเชิงนิเวศระดับ 2 (ในส่วนภาคอุตสาหกรรม) </t>
  </si>
  <si>
    <t xml:space="preserve">  (กรมโรงงานอุตสาหกรรม งบประมาณ 11,349,900 ล้านบาท)</t>
  </si>
  <si>
    <t>ศึกษาและรวบรวมข้อมูลโรงงานอุตสาหกรรม เพื่อจัดทำฐานข้อมูลการไหลของวัตถุดิบ ของโรงงานเป้าหมาย โดยต้องจัดทำฐานข้อมูลในรูปแบบอิเล็กทรอนิกส์ไฟล์ เพื่อนำไปสู่การหาโอกาสการแลกเปลี่ยนของเสียในอนาคตอย่างน้อย 200 โรงงาน (ไปเช้าเย็นกลับ)</t>
  </si>
  <si>
    <t>1) เบี้ยเลี้ยงเจ้าหน้าที่ (5 ทีม x ทีมละ40 โรงงาน xโรงงานละ 1 วัน x ทีมละ 2 คน x 240 บาท)</t>
  </si>
  <si>
    <t>2) ค่าเดินทางเจ้าหน้าที่ เช่ารถรวมค่าน้ำมัน (5 คัน x คันละ 40 โรงงาน x โรงงานละ 1 วัน x วันละ 2500 บาท)</t>
  </si>
  <si>
    <t xml:space="preserve">3) ค่าจัดทำรายงาน (200 โรงงาน  x โรงงานละ 1 ชุด x ชุดละ 250 บาท)  </t>
  </si>
  <si>
    <t>4.1) แท็บเล็ต (15,000 บาท x 10 เครื่อง)</t>
  </si>
  <si>
    <t>ให้คำแนะนำปรึกษาเชิงลึกหรือเขียนแผนการปรับปรุงหรือช่วยจัดเตรียมเอกสารในการปรับปรุงยกระดับให้กับโรงงานอุตสาหกรรมที่รับสมัครคัดเลือในด้านสิ่งแวดล้อม ความปลอดภัย แผนชุมชน การอนุรักษ์ทรัพยากรหรือพลังงาน ด้านใดด้านหนึ่งให้กับโรงงานที่เข้าร่วมโครงการอย่างน้อย 200 โรงงาน</t>
  </si>
  <si>
    <t>1) เบี้ยเลี้ยงเจ้าหน้าที่ (5 ทีม x ทีมละ40 โรงงาน xโรงงานละ 2 ครั้ง ครั้งละ 2 วัน x ทีมละ 2 คน x 240 บาท)</t>
  </si>
  <si>
    <t>2) ค่าเดินทางเจ้าหน้าที่ เช่ารถรวมค่าน้ำมัน (5 คัน x คันละ 40 โรงงาน x โรงงานละ 2 ครั้ง xครั้งละ 2 วัน x วันละ 2500 บาท)</t>
  </si>
  <si>
    <t xml:space="preserve">3) ค่าที่พักเจ้าหน้าที่และผู้เชี่ยวชาญ (5 ทีม x ทีมละ 40 โรงงาน x โรงงานละ 2 ครั้ง x ครั้งละ 2 ห้อง x ห้องละ 1 คืน x คืนละ 1200 บาท ) </t>
  </si>
  <si>
    <t>4) ค่าให้คำปรึกษาเชิงลึกของเจ้าหน้าที่ (5 ทีม x ทีมละ40 โรงงาน xโรงงานละ 2 ครั้ง x ครั้งละ 2 วัน ครั้งละ 2000 บาท(อ้างอิงจากโครงการ GI-ทีมละ2000 บาท)</t>
  </si>
  <si>
    <t xml:space="preserve">5) ค่าจัดทำรายงาน (200 โรงงาน  x โรงงานละ 1 ชุด x ชุดละ 250 บาท)  </t>
  </si>
  <si>
    <t>1) เบี้ยเลี้ยงเจ้าหน้าที่ (4 ทีม x ทีมละ 5 โรงงาน xโรงงานละ 1 ครั้ง ครั้งละ 2 วัน x ทีมละ 2 คน x 240 บาท)</t>
  </si>
  <si>
    <t>2) ค่าเดินทางเจ้าหน้าที่ เช่ารถรวมค่าน้ำมัน (4 คัน x คันละ 5 โรงงาน x โรงงานละ 1 ครั้ง xครั้งละ 2 วัน x วันละ 2500 บาท)</t>
  </si>
  <si>
    <t>3) ค่าที่พักผู้สุ่มทวนสอบ (4 ทีม x ทีมละ 5 โรงงาน x โรงงานละ 1 ครั้ง x ครั้งละ 2 ห้อง x ห้องละ 1 คืน x คืนละ 1200 บาท )</t>
  </si>
  <si>
    <t>1) เบี้ยเลี้ยงเจ้าหน้าที่ (4 ทีม x ทีมละ 5 โรงงาน xโรงงานละ 1 ครั้ง ครั้งละ 2 วัน x ทีมละ 3 คน x 240 บาท)</t>
  </si>
  <si>
    <t>3)ค่าที่พักเจ้าหน้าที่ (4 ทีม x ทีมละ 5 โรงงาน x โรงงานละ 1 ครั้ง x ครั้งละ 3 ห้อง x ห้องละ 1 คืน x คืนละ 1200 บาท )</t>
  </si>
  <si>
    <t>จัดงานประกาศความสำเร็จของพื้นที่เป้าหมาย 8 จังหวัด ในการเป็นเมืองอุตสาหกรรมเชิงนิเวศ ระดับ 2 ในส่วนภาคอุตสาหกรรม โดยให้มีการสัมมนาเผยแพร่แนวคิดเมืองอุตสาหกรรมเชิงนิเวศ และผลงานการพัฒนาอุตสาหกรรมเชิงนิเวศ</t>
  </si>
  <si>
    <t>งบดำเนินการ</t>
  </si>
  <si>
    <t>จัดประชุมเชิงปฏิบัติการเพื่อชี้แจงจำนวนอย่างน้อย 2 วัน 1 คืน ไม่น้อยกว่า 50 คน</t>
  </si>
  <si>
    <t xml:space="preserve">  - ค่าสถานที่จัดประชุม (5,000 บาท x 2 ครั้ง)</t>
  </si>
  <si>
    <t xml:space="preserve">  - ค่าอาหารว่าง (50 บาท x 4 มื้อ x 50 คน)</t>
  </si>
  <si>
    <t xml:space="preserve">  - ค่าอาหารกลางวัน (300 บาท x 50 คน x 2 มื้อ)</t>
  </si>
  <si>
    <t xml:space="preserve">   - ค่าเบี้ยเลี้ยงเจ้าหน้าที่  (5 คน x 240 บาท x 2 วัน)</t>
  </si>
  <si>
    <t xml:space="preserve">   - ค่าที่พักเจ้าหน้าที่  (5 คน x 800 บาท)</t>
  </si>
  <si>
    <t xml:space="preserve">  - ค่าจัดเตรียมเอกสารประกอบการประชุม (70 บาท x 50 ชุด)</t>
  </si>
  <si>
    <t>จัดประชุมคณะทำงาน เพื่อติดตามประเมินผลตาม ผลผลิต ผลลัพธ์และตัวชี้วัด</t>
  </si>
  <si>
    <t>จำนวน 3 ครั้ง 10 คน</t>
  </si>
  <si>
    <t xml:space="preserve">   - ค่าสถานที่จัดประชุม (5,000 บาท x 3 ครั้ง)</t>
  </si>
  <si>
    <t xml:space="preserve">   - ค่าอาหารว่าง (50 บาท x 6 มื้อ x 10 คน)</t>
  </si>
  <si>
    <t xml:space="preserve">   - ค่าอาหารกลางวัน (300 บาท x 10 คน x 3 มื้อ)</t>
  </si>
  <si>
    <t xml:space="preserve">   - ค่าจัดเตรียมเอกสารประกอบการประชุม (70 บาท x 10 ชุด)</t>
  </si>
  <si>
    <t>จัดประชุมคณะกรรมการชำนาญการพัฒนาเมืองอุตสาหกรรมเชิงนิเวศ เพื่อเสนอผลการ</t>
  </si>
  <si>
    <t>ดำเนินงานตามที่กำหนดในโครงการ จำนวน 1 ครั้ง ไม่น้อยกว่า 50 คน</t>
  </si>
  <si>
    <t xml:space="preserve">   - ค่าสถานที่จัดประชุม (5,000 บาท x 1 ครั้ง)</t>
  </si>
  <si>
    <t xml:space="preserve">   - ค่าอาหารว่าง (50 บาท x 2 มื้อ x 50 คน)</t>
  </si>
  <si>
    <t xml:space="preserve">   - ค่าอาหารกลางวัน (300 บาท x 50 คน x 1 มื้อ)</t>
  </si>
  <si>
    <t xml:space="preserve">   - ค่าจัดเตรียมเอกสารประกอบการประชุม (70 บาท x 50 ชุด)</t>
  </si>
  <si>
    <t>จัดทำผังกลไกการขับเคลื่อนและการติดตามประเมินผลแผนปฏิบัติการ การสำรวจ ติดตาม</t>
  </si>
  <si>
    <r>
      <t xml:space="preserve">และประเมินผล </t>
    </r>
    <r>
      <rPr>
        <b/>
        <sz val="16"/>
        <color rgb="FFFF0000"/>
        <rFont val="TH SarabunPSK"/>
        <charset val="222"/>
      </rPr>
      <t>(ค่าใช้จ่ายดำเนินการจ้างผู้รับจ้าง)</t>
    </r>
  </si>
  <si>
    <t xml:space="preserve">   - ค่าเบี้ยเลี้ยงเจ้าหน้าที่  (5 คน x 240 บาท x 6 วัน x 18 พื้นที่)</t>
  </si>
  <si>
    <t xml:space="preserve">   - ค่าที่พักเจ้าหน้าที่  (5 คน x 800 บาท x 3 ครั้ง x 18 พื้นที่)</t>
  </si>
  <si>
    <t xml:space="preserve">   - ค่าพาหนะ  (รถตู้รวมน้ำมัน  2,500 บาท x 108 วัน)</t>
  </si>
  <si>
    <t xml:space="preserve">   - ค่าเครื่องบิน ไป-กลับ (ขอนแก่น สุราษฏร์ธานี สงขลา) (3 จังหวัด x 3,000 บาท x 9 ครั้ง)</t>
  </si>
  <si>
    <t xml:space="preserve">จัดเก็บข้อมูล ประมวลผล และวิเคราะห์ข้อมูล 18 พื้นที่ </t>
  </si>
  <si>
    <t xml:space="preserve">   - ค่าเบี้ยเลี้ยงเจ้าหน้าที่  (5 คน x 240 บาท x 10 วัน x 18 พื้นที่)</t>
  </si>
  <si>
    <t xml:space="preserve">   - ค่าที่พักเจ้าหน้าที่  (5 คน x 800 บาท x 5 ครั้ง x 18 พื้นที่)</t>
  </si>
  <si>
    <t xml:space="preserve">   - ค่าพาหนะ  (รถตู้รวมน้ำมัน  2,500 บาท x 180 วัน)</t>
  </si>
  <si>
    <t>จัดทำรายงานสรุปผลการวิเคราะห์และจัดทำรูปเล่มรายงานจำนวนไม่น้อยกว่า 1000 เล่ม</t>
  </si>
  <si>
    <t xml:space="preserve"> - จัดทำรายงานสรุป (1000 เล่ม x 250)</t>
  </si>
  <si>
    <t xml:space="preserve">ลงพื้นที่ตรวจเยี่ยมและแลกเปลี่ยนเรียนรู้ผลการดำเนินงานโครงการ จำนวน 1 ครั้ง/18 พื้นที่ๆ </t>
  </si>
  <si>
    <r>
      <t xml:space="preserve">ละอย่างน้อย 3 วัน จำนวน 4 คน </t>
    </r>
    <r>
      <rPr>
        <b/>
        <sz val="14"/>
        <color rgb="FFFF0000"/>
        <rFont val="TH SarabunPSK"/>
        <charset val="222"/>
      </rPr>
      <t>(ดำเนินการเอง)</t>
    </r>
  </si>
  <si>
    <t xml:space="preserve">  - ค่าเบี้ยเลี้ยงเจ้าหน้าที่  (4 คน x 240 บาท x 36 วัน)</t>
  </si>
  <si>
    <t xml:space="preserve">  - ค่าที่พักเจ้าหน้าที่และพนักงานขับรถ  (4 คน x 800 บาท x 18 ครั้ง)</t>
  </si>
  <si>
    <t xml:space="preserve">  - ค่าน้ำมัน 18 พื้นที่ (18 พื้น x 2,000 บาท)</t>
  </si>
  <si>
    <t xml:space="preserve">  - ค่ายานพาหนะขนสัมภาระ (500 บาท x 4 คน)</t>
  </si>
  <si>
    <r>
      <t xml:space="preserve">จัดประชุมชี้แจงผลการประเมินผลดำเนินงานโครงการ จำนวน 1 ครั้ง </t>
    </r>
    <r>
      <rPr>
        <b/>
        <sz val="14"/>
        <color rgb="FFFF0000"/>
        <rFont val="TH SarabunPSK"/>
        <charset val="222"/>
      </rPr>
      <t>(ดำเนินการเอง)</t>
    </r>
  </si>
  <si>
    <t xml:space="preserve">  - ค่าสถานที่จัดประชุม (5000 บาท x 1 ครั้ง)</t>
  </si>
  <si>
    <t xml:space="preserve">  - ค่าใช้จ่ายตกแต่งสถานที่ (5000 บาท x 1 ครั้ง)</t>
  </si>
  <si>
    <t xml:space="preserve">  - ค่าพิธีกรดำเนินการ (20,000 บาท x 1 ครั้ง)</t>
  </si>
  <si>
    <t xml:space="preserve">  - ค่าตอบแทนวิทยากร (3 คน x 7 ชั่วโมง x 1,200 บาท)</t>
  </si>
  <si>
    <t xml:space="preserve">  - ค่าอาหารว่าง (50 บาท x 1 มื้อ x 100 คน)</t>
  </si>
  <si>
    <t xml:space="preserve">  - ค่าวัสดุอุปกรณ์ (1 x 10,000)</t>
  </si>
  <si>
    <t xml:space="preserve">  - ค่าอาหารกลางวัน (300 บาท x 100 คน x 1 มื้อ)</t>
  </si>
  <si>
    <t xml:space="preserve">  - ค่าจัดเตรียมเอกสารประกอบการประชุม (70 บาท x 100 ชุด)</t>
  </si>
  <si>
    <t>จัดทำรายงานสรุปผลการดำเนินงานโครงการ</t>
  </si>
  <si>
    <t>จัดทำเอกสารสรุปผลการดำเนินงานเสนอผู้บริหาร</t>
  </si>
  <si>
    <t>แผนการดำเนินโครงการ 10 ฉบับ พร้อม CD-Rom 1 แผ่น (500 บาท x 10 เล่ม)</t>
  </si>
  <si>
    <t>รายงานฉบับต้น 10 ฉบับ พร้อม CD-Rom 1 แผ่น  (800 บาท x 10 เล่ม)</t>
  </si>
  <si>
    <t>รายงานความก้าวหน้าฉบับกลาง 10 ฉบับ พร้อม CD-Rom 1 แผ่น (800 บาท x 10 เล่ม)</t>
  </si>
  <si>
    <t>ร่างรายงานฉบับสมบูรณ์ 10 ฉบับ พร้อม CD-Rom 1 แผ่นพร้อม CD-Rom (800 บาท x 10 เล่ม)</t>
  </si>
  <si>
    <t>1) รายงานฉบับสมบูรณ์ ภาษาไทย พร้อม CD-Rom (800 บาท x 10 เล่ม)</t>
  </si>
  <si>
    <t>2) รายงานสรุปสำหรับผู้บริหารภาษาไทย (800 บาท x 10 เล่ม)</t>
  </si>
  <si>
    <t>2) รายงานสรุปสำหรับผู้บริหารภาษาอังกฤษ (800 บาท x 10 เล่ม)</t>
  </si>
  <si>
    <t>ค่าดำเนินงานรวมภาษีมูลค่าเพิ่ม</t>
  </si>
  <si>
    <t>1.1) ค่าตอบแทนผู้จัดการโครงการ (ป.โท ประสบการณ์ 10 ปี) (1 คน x 55,000 บาท/เดือน x3 เดือน)</t>
  </si>
  <si>
    <t>1.2) ค่าตอบแทนผู้เชี่ยวชาญด้านสิ่งแวดล้อม ความปลอดภัยและอาชีวอนามัย (ป.โท ประสบการณ์ 7 ปี) (1 คน x 36,000 บาท/เดือนx 3 เดือน)</t>
  </si>
  <si>
    <t>1.3) ค่าตอบแทนผู้เชี่ยวชาญด้านเศรษฐกิจและสังคม (ป.ตรี ประสบการณ์ 5 ปี) (1 คนx 36,000 บาท/เดือน x 3 เดือน)</t>
  </si>
  <si>
    <t>1.4) ค่าตอบแทนผู้เชี่ยวชาญด้านสถิติและเทคโนโลยีสารสนเทศ (ป.ตรี ประสบการณ์ 5 ปี) (1 คน x 36,000 บาท/เดือนx 3 เดือน )</t>
  </si>
  <si>
    <t>1.5) ค่าตอบแทนผู้เชี่ยวชาญด้านการจัดการอุตสาหกรรม (ป.ตรี ประสบการณ์ 5 ปี) (1 คน x 36,000 บาท/เดือนx 3 เดือน)</t>
  </si>
  <si>
    <t>1.6) ค่าตอบแทนผู้เชี่ยวชาญด้ารการวางแผนพัฒนา (ป.ตรี ประสบการณ์ 5 ปี) (1 คน x 36,000 บาท/เดือนx 3 เดือน)</t>
  </si>
  <si>
    <t>1.7) ค่าตอบแทนที่ปรึกษาด้ารการมีส่วนร่วมของประชาชน (ป.ตรี ประสบการณ์ 5 ปี) (1 คน x 36,000 บาท/เดือนx 3 เดือน)</t>
  </si>
  <si>
    <t>1.8) ค่าตอบแทนผู้จัดการด้ารการตรวจประเมินและการรับรองระบบ (ป.ตรี ประสบการณ์ 5 ปี) (1 คน x 30,000 บาท/เดือนx 3 เดือน)</t>
  </si>
  <si>
    <t xml:space="preserve"> 1.9) ค่าตอบแทนนักวิชาการเศรษฐกิจหรือสังคม (ป.ตรี ประสบการณ์ 3 ปี) (1 คน x 30,000 บาท/เดือนx 3 เดือน)</t>
  </si>
  <si>
    <t>1.10) ค่าตอบแทนผู้วิศวกร/นักวิทยาศาสตร์ด้านสิ่งแวดล้อม (ป.ตรี ประสบการณ์ 3 ปี) (1 คน x 30,000 บาท/เดือนx 3 เดือน)</t>
  </si>
  <si>
    <t xml:space="preserve"> - ค่าตอบแทนเจ้าหน้าสนับสนุนโครงการ ป.ตรี ประสบการณ์ 3 ปี (4 คนx 15,000 บาท/เดือนx 9 เดือน)</t>
  </si>
  <si>
    <t xml:space="preserve"> - ค่าตอบแทนผู้ประสานงานโครงการ ป.ตรี ประสบการณ์ 3 ปี (4 คนx 15,000 บาท/เดือนx 9 เดือน)</t>
  </si>
  <si>
    <t>จัดทำกรอบแนวคิด แผนงานและแผนปฏิบัติการ (Action Plan) ตลอดการดำเนินโครงการ เพื่อพัฒนาฐานข้อมูล</t>
  </si>
  <si>
    <t>เก็บข้อมูลโรงงานอุตสาหกรรม หน่วยงานที่เกี่ยวข้อง และรวบรวมข้อมูลเชิงสถิติ เพื่อป้อนข้อมูลต่าง ๆ ให้กับศูนย์พัฒนาเมืองอุตสาหกรรม
เชิงนิเวศ</t>
  </si>
  <si>
    <t>1) ค่าเบี้ยเลี้ยงเจ้าหน้าที่ (10 คน x 240 บาท x 10วัน x 15 จังหวัด)</t>
  </si>
  <si>
    <t>2) ค่าที่พักเจ้าหน้าที่ (10 คน x 800 บาท x 5 ครั้ง x 15 จังหวัด)</t>
  </si>
  <si>
    <t xml:space="preserve">3) ค่าพาหนะ (รถตู้รวมค่าน้ำมัน) (2,500 บาท x 150 วัน)) </t>
  </si>
  <si>
    <t>จัดประชุมคณะกรรมการพัฒนาเมืองอุตสาหกรรมเชิงนิเวศ/คณะทำงาน/กรรมการเครือข่าย เพื่อชี้แจงโครงการ แผนงาน ของแต่ละ
จังหวัดอย่างน้อยจังหวัดละ 1 ครั้ง/ครั้งละ 40 คน และประชุมที่ส่วนกลาง 1 ครั้ง/ครั้งละ 50 คน</t>
  </si>
  <si>
    <t>(3.3.1) ประชุม 15 จังหวัดๆ ละ 1 ครั้ง/40คน</t>
  </si>
  <si>
    <t xml:space="preserve">1) ค่าสถานที่จัดประชุม (10,000 บาท x 15 ครั้ง) </t>
  </si>
  <si>
    <t>2) ค่าอาหารว่าง 2 มื้อ (100 บาท x 40 คน x 15 ครั้ง)</t>
  </si>
  <si>
    <t>3) ค่าอาหารกลางวัน (500 บาท x 40 คน x 15 ครั้ง)</t>
  </si>
  <si>
    <t>4) ค่าเบี้ยเลี้ยงเจ้าหน้าที่ (5 คน x 240 บาท x 2วัน x 15 จังหวัด)</t>
  </si>
  <si>
    <t>5) ค่าที่พักเจ้าหน้าที่ (5 คน x 800 บาท x 15 ครั้ง )</t>
  </si>
  <si>
    <t>6) ค่าจัดเตรียมเอกสารประกอบการประชุม (70 บาท x 40 ชุด x 15 จังหวัด)</t>
  </si>
  <si>
    <t>7) ค่าพาหนะ (รถตู้รวมค่าน้ำมัน) (2,500 บาท x 30ครั้ง)</t>
  </si>
  <si>
    <t>(3.3.2) ประชุมที่ส่วนกลาง 1 ครั้ง/ครั้งละ 50 คน</t>
  </si>
  <si>
    <t xml:space="preserve">1) ค่าสถานที่จัดประชุม (10,000 บาท x 1 ครั้ง) </t>
  </si>
  <si>
    <t>2) ค่าอาหารว่าง 2 มื้อ (100 บาท x 50 คน x 1 ครั้ง)</t>
  </si>
  <si>
    <t>3) ค่าอาหารกลางวัน (500 บาท x 50 คน x 1 ครั้ง)</t>
  </si>
  <si>
    <t>4) ค่าจัดเตรียมเอกสารประกอบการประชุม (70 บาท x 50 ชุด )</t>
  </si>
  <si>
    <t>ดำเนินการพัฒนาเว็บไซด์ศูนย์พัฒนาเมืองอุตสาหกรรมเชิงนิเวศและจัดทำทำเนียบเครือข่ายรวมทั้งแผนการบริหารจัดการข้อมูล
ด้วยระบบ digital 15 จังหวัด</t>
  </si>
  <si>
    <t>(3.4.1) จัดทำฐานข้อมูลที่เกี่ยวข้องให้เป็นปัจจุบันเพื่อให้มีการพัฒนาศูนย์ประสานข้อมูลพัฒนาเมืองอุตสาหกรรมเชิงนิเวศ 
ทั้งศูนย์ประสานข้อมูลส่วนกลางที่กรมโรงงานอุตสาหกรรมและศูนย์ประสานข้อมูลกลางการติดตามตรวจสอบและประเมินผลการพัฒนาเมืองอุตสาหกรรมเชิงนิเวศ 15 จังหวัด ให้เห็นในภาพรวมของประเทศไทยที่เป็นปัจจุบันทั้งรูปแบบ infographic และ รูปแบบ digital</t>
  </si>
  <si>
    <t>1) พัฒนาเว็บไซด์</t>
  </si>
  <si>
    <t>2) จัดทำ application eco industrial town</t>
  </si>
  <si>
    <t>(3.4.2)จัดทำเนียบเครือข่าย Eco Network จำนวน 1000 เล่มพร้อมแผ่นข้อมูล</t>
  </si>
  <si>
    <t>1) เอกสารการจัดทำเนียบ จำนวน 1,000 เล่ม (200 บาท x 1,000 เล่ม)</t>
  </si>
  <si>
    <t>2) แผ่น DVD (1,000 แผ่น X 25 บาท)</t>
  </si>
  <si>
    <t>ดำเนินการทวนสอบและประเมินผลระดับความเป็นเมืองอุตสาหกรรมเชิงนิเวศตามตัวชี้วัดความเป็นเมืองอุตสาหกรรมเชิงนิเวศในภาพรวม
ของ 15 จังหวัด 18 พื้นที่</t>
  </si>
  <si>
    <t xml:space="preserve">1) ค่าเบี้ยเลี้ยงเจ้าหน้าที่ (10 คน x 240 บาท x 10วัน x 18 พื้นที่) </t>
  </si>
  <si>
    <t>2) ค่าที่พักเจ้าหน้าที่ (10 คน x 800 บาท x 5 ครั้ง x 18 พื้นที่)</t>
  </si>
  <si>
    <t>3) ค่าเอกสารประกอบการทวนสอบและประเมินผล(100บาท x 180 ชุด) 18 พื้นที่</t>
  </si>
  <si>
    <t>4) ค่าพาหนะ (รถตู้รวมค่าน้ำมัน) (2,500 บาท x 180 วัน)</t>
  </si>
  <si>
    <t>ดำเนินการจัดกิจกรรมประกวดเมืองอุตสาหกรรมเชิงนิเวศ นิคมอุตสาหกรรมเชิงนิเวศ เขตประกอบการอุตสาหกรรมเชิงนิเวศ 
สวนอุตสาหกรรมเชิงนิเวศ ศูนย์แลกเปลี่ยนเรียนรู้ ตัวอย่างโรงงานอุตสาหกรรมเชิงนิเวศ หรือรางวัล อื่นๆที่เกี่ยวข้อง ตามที่กรมโรงงาน
เห็นชอบ เพื่อเป็นการกระตุ้นและส่งเสริมการพัฒนาเมืองอุตสาหกรรมเชิงนิเวศระดับจังหวัด โดยดำเนินการประชาสัมพันและจัดกิจกรรม 
สัมมนาผู้แทนเครือข่าย Eco Network และผู้เกี่ยวข้อง ของ 15 จังหวัดเพื่อชี้แจงการขับเคลื่อนเมืองอุตสาหกรรมเชิงนิเวศ กิจกรรมและ
รางวัล ประเภทต่างๆ ให้กับเครือข่ายอุตสาหกรรมเชิงนิเวศ (Eco Network)</t>
  </si>
  <si>
    <t>(3.6.1) จัดกิจกรรมประกวดเมืองอุตสาหกรรมเชิงนิเวศ นิคมอุตสาหกรรมเชิงนิเวศ เขตประกอบการอุตสาหกรรมเชิงนิเวศ 
สวนอุตสาหกรรมเชิงนิเวศ</t>
  </si>
  <si>
    <t>1) ค่าวิทยากร  (1,200 บาท x คนละ 7 ชั่วโมง)</t>
  </si>
  <si>
    <t xml:space="preserve">2) ค่าเอกสารประกอบการจัดกิจกรรม (70 บาท x 100 คน) </t>
  </si>
  <si>
    <t>3) ค่าพิธีกร (30000บาท)</t>
  </si>
  <si>
    <t>4) ค่าสถานที่จัดประชุม (10000บาท)</t>
  </si>
  <si>
    <t>5) ค่าอาหารว่าง (2 มื้อ x 50 บาท x 100 คน )</t>
  </si>
  <si>
    <t>6) ค่าอาหารกลางวัน  (1 มื้อ)  (500 บาท x 100 คน)</t>
  </si>
  <si>
    <t>7) ค่ารถโดยสาร (รถตู้รวมค่าน้ำมัน) (2500บาท x 8 คัน)</t>
  </si>
  <si>
    <t xml:space="preserve"> (3.6.2) จัดกิจกรรม สัมมนาผู้แทนเครือข่าย Eco Network และผู้เกี่ยวข้อง ของ 15 จังหวัดเพื่อชี้แจงการขับเคลื่อนเมืองอุตสาหกรรม
เชิงนิเวศ</t>
  </si>
  <si>
    <t xml:space="preserve">2) ค่าเอกสารประกอบการจัดกิจกรรม (70 บาท x 50) </t>
  </si>
  <si>
    <t>3) ค่าสถานที่จัดประชุม (10,000บาท)</t>
  </si>
  <si>
    <t>4) ค่าอาหารว่าง   (2 มื้อ x 50 บาท x 50 คน )</t>
  </si>
  <si>
    <t>4) ค่าอาหารกลางวัน  (1 มื้อ)  (500 บาท x 50 คน)</t>
  </si>
  <si>
    <t>5) ค่ารถโดยสาร (รถตู้รวมค่าน้ำมัน) (2500บาท x 8 คัน)</t>
  </si>
  <si>
    <t>จัดฝึกอบรมหลักสูตรการตรวจประเมินการเป็นเมืองอุตสาหกรรมเชิงนิเวศ นิคมอุตสาหกรรมเชิงนิเวศ เขตประกอบการอุตสาหกรรม
เชิงนิเวศ สวนอุตสาหกรรมเชิงนิเวศ โรงงานอุตสาหกรรมเชิงนิเวศ โรงงานสีเขียว เจ้าหน้าที่อุตสาหกรรมจังหวัด เครือข่ายอุตสาหกรรมเชิง
นิเวศ 15 จังหวัด จำนวนอย่างน้อย 50 คน/จังหวัด ระยะเวลาอย่างน้อย 3 วัน</t>
  </si>
  <si>
    <t>1) ค่าวิทยากร (1,200 บาท x 21 ชั่วโมง x 15 จังหวัด)</t>
  </si>
  <si>
    <t>2) ค่าสถานที่จัดประชุม (10,000 บาท x 15 ครั้ง x 3 วัน)</t>
  </si>
  <si>
    <t>3) ค่าอาหารว่าง 6 มื้อ (50 บาทx 50 คน x 15 ครั้ง)</t>
  </si>
  <si>
    <t>4) ค่าอาหารกลางวัน (500 บาท x 50 คน x 15 ครั้ง x 3 วัน)</t>
  </si>
  <si>
    <t>5) ค่าเบี้ยเลี้ยงเจ้าหน้าที่ (5 คน x 240 บาท x 45วัน)</t>
  </si>
  <si>
    <t>6) ค่าที่พักเจ้าหน้าที่ (5 คน x 800 บาท x 30 ครั้ง)</t>
  </si>
  <si>
    <t>7) ค่าจัดเตรียมเอกสารประกอบการประชุม (70 บาท x 50 ชุด x 15 จังหวัด)</t>
  </si>
  <si>
    <t>8) ค่ารถโดยสาร (รถตู้รวมค่าน้ำมัน) (2,500 บาท x 3 วัน x 15 จังหวัด)</t>
  </si>
  <si>
    <t>9) จัดทำคู่มือตัวชี้วัดเมืองอุตสาหกรรมเชิงนิเวศ จำนวน (3,000 เล่ม x 250 บาท)</t>
  </si>
  <si>
    <t>10) DVD คู่มือตัวชี้วัดเมืองอุตสาหกรรมเชิงนิเวศ (3,000 ชุด x 25 บาท)</t>
  </si>
  <si>
    <t>จัดฝึกอบรมหลักสูตรการตรวจประเมินการเป็นเมืองอุตสาหกรรมเชิงนิเวศ 15 จังหวัด โรงงานสีเขียว/ISO14001 / ISO18001 / ISO19001/LCA จำนวนไม่น้อยกว่า 30 คน/จังหวัด ระยะเวลาอย่างน้อย 14 วัน</t>
  </si>
  <si>
    <t>1) ค่าวิทยากร (1,200 บาท x 98 ชั่วโมง)</t>
  </si>
  <si>
    <t>2) ค่าสถานที่จัดประชุม (10,000 บาท x 14 วัน)</t>
  </si>
  <si>
    <t>3) ค่าอาหารว่าง (2 มื้อ x 50 บาท x 30 คน x 14 วัน)</t>
  </si>
  <si>
    <t>4) ค่าอาหารกลางวัน (500 บาท x 30 คน x 14 วัน)</t>
  </si>
  <si>
    <t>5) ค่าเบี้ยเลี้ยงเจ้าหน้าที่ (5 คน x 240 บาท x 14 วัน)</t>
  </si>
  <si>
    <t>6) ค่าที่พักเจ้าหน้าที่ (5 คน x 800 บาท x 14 วัน)</t>
  </si>
  <si>
    <t>7) ค่าที่พักผู้รับการฝึกอบรม (30 คน x 800 บาท x 14 วัน)</t>
  </si>
  <si>
    <t>7) ค่าจัดเตรียมเอกสารประกอบการประชุม (70 บาท x 30 ชุด)</t>
  </si>
  <si>
    <t>8) ค่ารถโดยสาร (รถตู้รวมค่าน้ำมัน) (2,500 บาท x 14 วัน)</t>
  </si>
  <si>
    <t>ดำเนิน แลกเปลี่ยนเรียนรู้ และค้นหาช่องทางการทำงานร่วมกันโดยนำมีผู้แทนจาก 15 จังหวัด โดยจัดกิจกรรมอย่างน้อย 1 ครั้ง ครั้งละไม่น้อยกว่า 80 คน โดยมีผู้แทนเครือข่าย Eco Network เข้าร่วมทุกเครือข่าย ระยะเวลาอย่างน้อย 2 วัน</t>
  </si>
  <si>
    <t>1) ค่าสถานที่จัดประชุม (10,000 บาท x 1 ครั้ง)</t>
  </si>
  <si>
    <t>2) ค่าวิทยากร (1,200 บาท x 14 ชั่วโมง x 1 ครั้ง)</t>
  </si>
  <si>
    <t>3) ค่าอาหารว่าง 4 มื้อ (50 บาท x 80 คน x 1ครั้ง)</t>
  </si>
  <si>
    <t>4) ค่าอาหารกลางวัน 2 มื้อ (500 บาท x 80 คน )</t>
  </si>
  <si>
    <t>5) ค่าเบี้ยเลี้ยงเจ้าหน้าที่ (5 คน x 240 บาท x 2 วัน)</t>
  </si>
  <si>
    <t>6) ค่าที่พักเจ้าหน้าที่ (5 คน x 800 บาท x 1 ครั้ง)</t>
  </si>
  <si>
    <t>7) ค่าจัดเตรียมเอกสารประกอบการประชุม (70 บาท x 80 ชุด x 1 ครั้ง)</t>
  </si>
  <si>
    <t>8) ค่ารถโดยสาร (รถตู้รวมค่าน้ำมัน) (2,500 บาท x 3 วัน)</t>
  </si>
  <si>
    <t>9) ค่าใช้จ่ายเบ็ตเล็ด</t>
  </si>
  <si>
    <t>ดำเนินการจัดกิจกรรมมอบรางวัล ประชาสัมพันธ์ นิทรรศการผลการดำเนินการเมืองอุตสาหกรรมเชิงนิเวศ ในภาพรวม 15 จังหวัด</t>
  </si>
  <si>
    <t>1) ปิดตัวโครางการ</t>
  </si>
  <si>
    <t>2) ค่าสถานที่และตกแต่ง (75,000 x 2 วัน)</t>
  </si>
  <si>
    <t>3) พิธีกรดำเนินการ (30,000 x 2 วัน)</t>
  </si>
  <si>
    <t>4) ค่าเอกสารประกอบการจัดกิจกรรม (70 บาท x 200 ชุด)</t>
  </si>
  <si>
    <t>5) ค่าจัดทำวิดีทัศน์แนะนำโครงการฯ (ความยาวไม่น้อยกว่า 3 นาที)</t>
  </si>
  <si>
    <t>6) แผ่นป้ายแบนเนอร์ ขนาด 1.2 x 2.4  เมตร (2 x 500)</t>
  </si>
  <si>
    <t>7) ค่าโล่รางวัล (500 x 100 รางวัล)</t>
  </si>
  <si>
    <t>8) ค่าจัดทำบอร์ดนิทรรศการโครงการ</t>
  </si>
  <si>
    <t>9) ค่าอุปกรณ์โสตฯ (10,000 บาท )</t>
  </si>
  <si>
    <t>10) ถ่ายภาพ บันทึกวีดีโอ (10,000 บาท)</t>
  </si>
  <si>
    <t>11) ค่าเบี้ยเลี้ยงเจ้าหน้าที่ (5 คน x 240 บาท)</t>
  </si>
  <si>
    <t>12) ค่าอาหารว่าง (2มื้อ x 50 บาท x 200 คน x 1 ครั้ง)</t>
  </si>
  <si>
    <t>13) ค่าอาหารกลางวัน (1 มื้อ x 500 บาท x 200 คน)</t>
  </si>
  <si>
    <t>14) ค่ารถโดยสาร (รถตู้รวมค่าน้ำมัน) (2,500 บาท x 3 คัน)</t>
  </si>
  <si>
    <t>15) ค่าใช้จ่ายเบ็ตเล็ด</t>
  </si>
  <si>
    <t>จัดทำเอกสารสรุปผลการดำเนินการเพื่อรายงานและประชาสัมพันธ์ผลการดำเนินการพัฒนาเมืองอุตสาหกรรมเชิงนิเวศ ตามตัวชี้วัดและประเมินผลระดับการพัฒนา 5 มิติ 20 ด้าน 41 ตัวชี้วัด 15 จังหวัด จังหวัดละอย่างน้อย 50 เล่ม พร้อมแผ่นข้อมูลจำนวน 100 ชุด</t>
  </si>
  <si>
    <t>1) เอกสารสรุปผลการดำเนินการ (250 x 50 เล่ม x 15 จังหวัด)</t>
  </si>
  <si>
    <t>2) แผ่นข้อมูล DVD (100 ชุด x 25 บาท)</t>
  </si>
  <si>
    <t>1) รายงานฉบับที่ 1</t>
  </si>
  <si>
    <t>2) รายงานฉบับที่ 2</t>
  </si>
  <si>
    <t>3) รายงานฉบับที่ 3</t>
  </si>
  <si>
    <t>4) รายงานฉบับที่ 4 และบทสรุป</t>
  </si>
  <si>
    <t xml:space="preserve">  (กรมโรงงานอุตสาหกรรม งบประมาณ 23.655350 ล้านบาท)</t>
  </si>
  <si>
    <t>โครงการส่งเสริมและยกระดับเครือข่ายอุตสาหกรรมเชิงนิเวศ 15 จังหวัด</t>
  </si>
  <si>
    <t>ศึกษาและรวบรวมข้อมูลเครือข่ายอุตสาหกรรมเชิงนิเวศ (Eco Network) ในพื้นที่ 15 จังหวัด พร้อมทั้งจัดทำฐานข้อมูลในรูปอิเล็กทรอนิกส์ไฟล์</t>
  </si>
  <si>
    <t xml:space="preserve">จัดฝึกอบรมหลักสูตรการส่งเสริม และการพัฒนาองค์ความรู้ด้านการพัฒนาเมืองอุตสาหรรมเชิงนิเวศให้กับเครือข่ายอุตสาหกรรมเชิงนิเวศ 2 วัน/ครั้ง 1 ครั้ง/จังหวัด 50 คน </t>
  </si>
  <si>
    <t xml:space="preserve">จัดฝึกอบรมหลักสูตรแนวทางการส่งเสริมและการพัฒนาองค์ความรู้ด้านการพัฒนาเครือข่ายอุตสาหกรรมเชิงนิเวศ 2 วัน/ครั้ง 1 ครั้ง/จังหวัด 50 คน </t>
  </si>
  <si>
    <t>ประชาสัมพันธ์การดำเนินการพัฒนาเครือข่ายอุตสาหกรรมเชิงนิเวศ</t>
  </si>
  <si>
    <t>จัดศึกษาดูงานในพื้นที่ต้นแบบที่ประสบความสำเร็จและเป็นที่ยอมรับในการพัฒนาเครือข่ายอุตสาหกรรมเชิงนิเวศ</t>
  </si>
  <si>
    <t>จัดประชุมสัมมนาเพื่อเผยแพร่ผลการดำเนินโครงการส่งเสริมและยกระดับเครือข่ายอุตสาหกรรมเชิงนิเวศ พร้อมทั้งมอบรางวัลให้กับเครือข่ายอุตสาหกรรมเชิงนิเวศ</t>
  </si>
  <si>
    <t xml:space="preserve"> จัดทำเอกสารสรุปผลการดำเนินงานเสนอผู้บริหาร</t>
  </si>
  <si>
    <t>รวม</t>
  </si>
  <si>
    <t>วิศวกรรม</t>
  </si>
  <si>
    <t>ü</t>
  </si>
  <si>
    <t>คน</t>
  </si>
  <si>
    <t>วิทยาศาสตร์</t>
  </si>
  <si>
    <t>สนับสนุน</t>
  </si>
  <si>
    <t>2 ปี</t>
  </si>
  <si>
    <t>คืน</t>
  </si>
  <si>
    <t>โรงงาน</t>
  </si>
  <si>
    <t>ตร.ม.</t>
  </si>
  <si>
    <t>จัดทำรายงาน</t>
  </si>
  <si>
    <t xml:space="preserve">                               โครงการยกระดับอุตสาหกรรมเข้าสู่อุตสาหกรรมสีเขียว (Green Industry) งบประมาณ 56,853,650  ล้านบาท</t>
  </si>
  <si>
    <t xml:space="preserve">  </t>
  </si>
  <si>
    <t xml:space="preserve"> - ค่าตอบแทนผู้จัดการโครงการ </t>
  </si>
  <si>
    <t xml:space="preserve"> - ค่าตอบแทนผู้ประสานงานโครงการ </t>
  </si>
  <si>
    <t xml:space="preserve"> - ค่าตอบแทนผู้เชี่ยวชาญระบบการจัดการสิ่งแวดล้อม </t>
  </si>
  <si>
    <t xml:space="preserve"> - ค่าตอบแทนผู้เชี่ยวชาญการจัดการมลพิษ </t>
  </si>
  <si>
    <t xml:space="preserve"> - ค่าตอบแทนผู้เชี่ยวชาญเทคโนโลยีการผลิตที่สะอาด </t>
  </si>
  <si>
    <t xml:space="preserve"> - ค่าตอบแทนผู้เชี่ยวชาญพลังงาน</t>
  </si>
  <si>
    <t xml:space="preserve"> - ค่าตอบแทนผู้เชี่ยวชาญด้านอุตสาหกรรมสีเขียว </t>
  </si>
  <si>
    <t xml:space="preserve"> - ค่าตอบแทนผู้ดำเนินงานด้านมีส่วนร่วมของประชาชน </t>
  </si>
  <si>
    <t xml:space="preserve"> - ค่าตอบแทนผู้เชี่ยวชาญด้านมาตรฐานการพัฒนา </t>
  </si>
  <si>
    <t xml:space="preserve"> - ค่าตอบแทนวิศวกร </t>
  </si>
  <si>
    <t xml:space="preserve"> - ค่าตอบแทนนักวิทยาศาสตร์ </t>
  </si>
  <si>
    <t xml:space="preserve"> - ค่าตอบแทนผู้ตรวจประเมิน </t>
  </si>
  <si>
    <t xml:space="preserve"> - ค่าตอบแทนนักพัฒนาโปรแกรม </t>
  </si>
  <si>
    <t xml:space="preserve"> - ค่าตอบแทนเจ้าหน้าที่ธุรการ/ประมวลผลข้อมูล ป.ตรี ประสบการณ์ 3 ปี</t>
  </si>
  <si>
    <t>การศึกษาศักยภาพในการลดปริมาณน้ำในโรงงานอุตสาหกรรม จำนวน 20 โรงงาน</t>
  </si>
  <si>
    <t>1) ประชุมโรงงาน รวมเอกสาร (100 ชุด x 700 บาท)</t>
  </si>
  <si>
    <t>2) ค่าเบี้ยเลี้ยง (3 คน x150 วันx 240 บาท )</t>
  </si>
  <si>
    <t>3) ค่าที่พัก(ตจว.) (3 คนx 150วันx 1,200 บาท ) โดยผู้เชี่ยวชาญและทีมงาน</t>
  </si>
  <si>
    <t>4) ค่าพาหนะใช้สำรวจข้อมูล(รถตู้ + ค่าน้ำมัน 1 คัน* 150 วัน*2500 บาท)</t>
  </si>
  <si>
    <t xml:space="preserve">5) ค่าจัดทำฐานข้อมูลน้ำใช้อุตสาหกรรม 38 ประเภท </t>
  </si>
  <si>
    <t xml:space="preserve">6) รายงานเสนอคณะกรรมการประสานรับมอบงาน ( 1 ฉบับ*10 เล่ม *10ครั้ง *200บาท) </t>
  </si>
  <si>
    <t>7) รายงานฉบับเบื้องต้น (1 ฉบับ 10 เล่ม * 300 บาท)</t>
  </si>
  <si>
    <t>8) รายงานความก้าวหน้า ( 2 ฉบับ *10 เล่ม*500 บาท)</t>
  </si>
  <si>
    <t>9) รายงานฉบับสมบูรณ์ และรายงานสรุปผู้บริหาร(อย่างละ 2 ฉบับ * 10 เล่ม *1,500 บาท)</t>
  </si>
  <si>
    <t>10) ค่าใช้จ่ายสำนักงาน</t>
  </si>
  <si>
    <t xml:space="preserve"> - ค่าสำนักงานและสาธารณูปโภค </t>
  </si>
  <si>
    <t>การถ่ายทอดเทคโนโลยีการผลิตที่สะอาดระดับรายสาขา จำนวน 20 โรงงาน</t>
  </si>
  <si>
    <t>2.2.1 กิจกรรมเผยแพร่โครงการ เพื่อเชิญชวนโรงงานเข้าร่วมโครงการ</t>
  </si>
  <si>
    <t xml:space="preserve">1.1) ค่าเอกสารเชิญชวนโรงงานเข้าร่วมโครงการผ่านสื่อสิ่งพิมพ์ </t>
  </si>
  <si>
    <t>1.2) ค่าจัดทำเอกสารเชิญชวนโรงงานเข้าร่วมโครงการ(500 ชุด x50 บาท)</t>
  </si>
  <si>
    <t>1.3) ค่าจัดส่งเอกสารเชิญชวนโรงงานเข้าร่วมโครงการ(500 ชุด x10 บาท)</t>
  </si>
  <si>
    <t>2.2.2 ค่าใช้จ่ายในการสำรวจโรงงาน 30 โรงงานๆ ละ 1 วัน โดยผู้เชี่ยวชาญและทีมงาน</t>
  </si>
  <si>
    <t>1) ค่าเบี้ยเลี้ยง (3 คนx20 โรง x 1 วัน x 240 บาท)</t>
  </si>
  <si>
    <t>2) ค่าที่พักผู้เชี่ยวชาญ และทีมงาน (ตจว.) (3 คนx20 โรงx1วันx1,200 บาท)</t>
  </si>
  <si>
    <t>3) ค่าพาหนะ(รถตู้ + ค่าน้ำมัน) (1 คันx20 โรงx 1วันx2,500 บาท)</t>
  </si>
  <si>
    <t>2.3.3 ค่าใช้จ่ายในการตรวจประเมินโรงงานและคัดเลือก CT Option</t>
  </si>
  <si>
    <t>1) ค่าตรวจวัดด้านพลังงานก่อน-หลังปรับปรุง (20 โรงงาน x30000 บาท)</t>
  </si>
  <si>
    <t>2) ค่าตรวจวัดด้านคุณภาพน้ำ( 20 โรงงานx2 ตัวอย่างx 1,200 บาท  )</t>
  </si>
  <si>
    <t>3) ค่าตรวจวัดด้านคุณภาพอากาศ( 20 โรงงานx2 ตัวอย่างx 1,200 บาท  )</t>
  </si>
  <si>
    <t>4) ค่าเอกสาร Inhouse Training ( 20 โรงงานx10 ชุด x 70 บาท  )</t>
  </si>
  <si>
    <t>5) ค่าเบี้ยเลี้ยง (3 คน x 20 วัน x 240 บาท)</t>
  </si>
  <si>
    <t>6) ค่าที่พักผู้เชี่ยวชาญและทีมงาน (ตจว.) (3 คนx20วันx1,200 บาท)</t>
  </si>
  <si>
    <t>7) ค่าพาหนะ(รถตู้ + ค่าน้ำมัน) (1 คัน x20 วัน x 2,500 บาท)</t>
  </si>
  <si>
    <t>2.2.4ค่าใช้จ่ายในการปรับปรุงและประเมินผลการนำ CT Option ไปใช้โรงงาน</t>
  </si>
  <si>
    <t>1) ค่าตรวจวัดด้านคุณภาพน้ำ( 20 โรงงานx2 ตัวอย่างx 1,200 บาท  )</t>
  </si>
  <si>
    <t>2) ค่าตรวจวัดด้านคุณภาพอากาศ( 20 โรงงานx2 ตัวอย่างx 1,200 บาท  )</t>
  </si>
  <si>
    <t>3) ค่าเบี้ยเลี้ยง (3 คน x 20 วัน x 240 บาท)</t>
  </si>
  <si>
    <t>4) ค่าที่พักผู้เชี่ยวชาญและทีมงาน (ตจว.) (3 คนx20วันx1,200 บาท)</t>
  </si>
  <si>
    <t>5) ค่าพาหนะ(รถตู้ + ค่าน้ำมัน) (1 คัน x20 วัน x 2,500 บาท)</t>
  </si>
  <si>
    <t xml:space="preserve">2.2.5 เผยแพร่ผลสำเร็จการดำเนินงาน </t>
  </si>
  <si>
    <t>1) ค่าจัดทำเอกสาร (100 ชุด x 70 บาท)</t>
  </si>
  <si>
    <t xml:space="preserve">2) ค่าอาหารและเครื่องดื่ม (100 คน x 600 บาท) </t>
  </si>
  <si>
    <t>3) ค่าวิทยากร ( 1 คนx7 ชั่วโมงx 1 วัน x 1,200 บาท  )</t>
  </si>
  <si>
    <t>4) ค่าเบี้ยเลี้ยง (4 คน x 1 วัน x 240 บาท)</t>
  </si>
  <si>
    <t>5) ค่าที่พักวิทยากร และทีมงาน (ตจว.) (5 คนx1วันx1,200 บาท)</t>
  </si>
  <si>
    <t>6) ค่าพาหนะ(รถตู้ + ค่าน้ำมัน) (1 คัน x1 วัน x 2,500 บาท)</t>
  </si>
  <si>
    <t>2.2.6 ค่าจัดอบรมพัฒนาความรู้เทคโนโลยีการผลิตที่สะอาด</t>
  </si>
  <si>
    <t>1) ค่าจัดทำคู่มือการป้องกันมลพิษระดับรายสาขา(1 ฉบับ x500 เล่มx 500 บาท)</t>
  </si>
  <si>
    <t>2) ค่าจัดทำเอกสาร (100 ชุด x 70 บาท)</t>
  </si>
  <si>
    <t xml:space="preserve">3) ค่าอาหารและเครื่องดื่ม (100 คน x 600 บาท) </t>
  </si>
  <si>
    <t>4) ค่าวิทยากร ( 1 คนx7 ชั่วโมงx 1 วัน x 1,200 บาท  )</t>
  </si>
  <si>
    <t>5) ค่าเบี้ยเลี้ยง (4 คน x 1 วัน x 240 บาท)</t>
  </si>
  <si>
    <t>6) ค่าที่พักวิทยากร และทีมงาน (ตจว.) (5 คนx1วันx1,200 บาท)</t>
  </si>
  <si>
    <t>7) ค่าพาหนะ(รถตู้ + ค่าน้ำมัน) (1 คัน x1 วัน x 2,500 บาท)</t>
  </si>
  <si>
    <t>2.2.7 ค่าใช้จ่ายในการจัดทำรายงาน</t>
  </si>
  <si>
    <t xml:space="preserve">1) รายงานเสนอคณะกรรมการประสานรับมอบงาน ( 1 ฉบับ*10 เล่ม *10ครั้ง *100บาท) </t>
  </si>
  <si>
    <t>2) รายงานฉบับเบื้องต้น (1 ฉบับ 10 เล่ม x 500 บาท)</t>
  </si>
  <si>
    <t>3) รายงานความก้าวหน้า ( 2 ฉบับ x10 เล่มx600 บาท)</t>
  </si>
  <si>
    <t>4) รายงานฉบับสมบูรณ์ และรายงานสรุปผู้บริหาร(อย่างละ 2 ฉบับ x 10 เล่ม x1,500 บาท)</t>
  </si>
  <si>
    <t>2.2.8 ค่าใช้จ่ายสำนักงาน</t>
  </si>
  <si>
    <t xml:space="preserve"> - ค่าติดต่อสื่อสาร/ค่าเครื่องเขียนแบบพิมพ์</t>
  </si>
  <si>
    <t xml:space="preserve"> - ค่าใช้จ่ายเบ็ดเตล็ดอื่นๆ เช่น ค่าติดต่อประสานงาน </t>
  </si>
  <si>
    <t>การเพิ่มศักยภาพการผลิตของโรงงานอุตสาหกรรมด้วยระบบการจัดการสิ่งแวดล้อมในพื้นที่ลุ่มน้ำสายหลัก จำนวน 30 โรงงาน</t>
  </si>
  <si>
    <t>2.3.1 จัดประชุมรณรงค์ภาคอุตสาหกรรมรักษาสิ่งแวดล้อม และเชิญชวนเข้าร่วมโครงการ  1 วัน</t>
  </si>
  <si>
    <t>1) ค่าจัดทำเอกสาร (100 ชุดx1ครั้ง x 70 บาท)</t>
  </si>
  <si>
    <t xml:space="preserve">2) ค่าอาหารและเครื่องดื่ม (100 คนx1ครั้ง x 600 บาท) </t>
  </si>
  <si>
    <t>3) ค่าวิทยากร ( 1 คนx7 ชั่วโมงx1 วัน x 1,200 บาท  )</t>
  </si>
  <si>
    <t>4) ค่าเบี้ยเลี้ยงทีมงาน (4 คน x1 วัน x 240 บาท)</t>
  </si>
  <si>
    <t>2.3.2 จัดให้ความรู้เชิงปฏิบัติการให้พนักงานโรงงานละ 2 คน เพื่อเป็นพี่เลี้ยงไปถ่ายทอดในโรงงาน 30 โรงงานๆ ละ 3 วัน</t>
  </si>
  <si>
    <t>1) ค่าจัดทำเอกสาร (60 ชุดx1ครั้งx3วัน x 70 บาท)</t>
  </si>
  <si>
    <t xml:space="preserve">2) ค่าอาหารและเครื่องดื่ม (60 คนx1ครั้งx3วัน x 600 บาท) </t>
  </si>
  <si>
    <t>3) ค่าวิทยากร ( 1 คนx7 ชั่วโมx1 ครั้งx3วัน x 1,200 บาท  )</t>
  </si>
  <si>
    <t>4) ค่าเบี้ยเลี้ยงทีมงาน (4 คนx1 ครั้ง x3 วัน x 240 บาท)</t>
  </si>
  <si>
    <t>5) ค่าที่พักวิทยากร และทีมงาน (ตจว.) (5 คนx1 ครั้งx3วันx1,200 บาท)</t>
  </si>
  <si>
    <t>7) ค่าพาหนะ(รถตู้ + ค่าน้ำมัน) (1 คันx1 ครั้ง x3 วัน x 2,500 บาท)</t>
  </si>
  <si>
    <t xml:space="preserve">2.3.3 วางระบบการจัดการสิ่งแวดล้อมในโรงงานร่วมกับพนักงานเพื่อปรับปรุงแก้ไขกระบวนการผลิตให้ถูกต้องตามกฎหมาย ลดปัญหาสิ่งแวดล้อม ลดต้นทุนการผลิต 30 โรงๆ ละ 3 วัน </t>
  </si>
  <si>
    <t>1) ค่าจัดทำเอกสาร (30 โรงx5 ชุดx3วัน x 70 บาท)</t>
  </si>
  <si>
    <t xml:space="preserve">2) วิเคราะห์น้ำระบบบำบัด(In-eff) ก่อน-หลังการปรับปรุงรวม 16 ตัวอย่างๆ/โรง30 โรง (pH BOD COD SS O&amp;G หรือโลหะหนัก) </t>
  </si>
  <si>
    <t>3) ค่าเบี้ยเลี้ยงทีมงาน (2 คนx 30โรง x5  วัน x 240 บาท)</t>
  </si>
  <si>
    <t>4) ค่าที่พักผู้เชี่ยวชาญและทีมงาน (ตจว.) (5 คนx 30โรงx5วันx1,200 บาท)</t>
  </si>
  <si>
    <t>5) ค่าพาหนะ(รถตู้ + ค่าน้ำมัน) (1 คันx 30โรง x5 วัน x 2,500 บาท)</t>
  </si>
  <si>
    <t xml:space="preserve">2.3.4 ปรับปรุงแก้ไขกระบวนการผลิตให้ถูกต้องตามกฎหมาย ลดปัญหาสิ่งแวดล้อม ลดต้นทุนการผลิต และตรวจประเมินระบบการจัดการสิ่งแวดล้อม 30 โรงๆ ละ 4 วัน </t>
  </si>
  <si>
    <t>1) ค่าจัดทำเอกสาร (30 โรงx4 ชุดx4วัน x 70 บาท)</t>
  </si>
  <si>
    <t>2) ค่าเบี้ยเลี้ยงทีมงาน (3 คนx 30โรง x6  วัน x 240 บาท)</t>
  </si>
  <si>
    <t>3) ค่าที่พักผู้เชี่ยวชาญและทีมงาน (ตจว.) (4 คนx 30โรงx6วันx1,200 บาท)</t>
  </si>
  <si>
    <t>4) ค่าพาหนะ(รถตู้ + ค่าน้ำมัน) (1 คันx 30โรง x6 วัน x 2,500 บาท)</t>
  </si>
  <si>
    <t xml:space="preserve">2.3.5 จัดทำคู่มือการจัดการสิ่งแวดล้อม 1 รายสาขา และตราสัญลักษณ์การรับรองระบบการจัดการสิ่งแวดล้อม   </t>
  </si>
  <si>
    <t>1) ค่าจัดทำคู่มือการจัดการสิ่งแวดล้อม (1 ฉบับ x500 เล่มx 500 บาท)</t>
  </si>
  <si>
    <t>2) ค่าจัดทำตราสัญลักษณ์การรับรองระบบการจัดการสิ่งแวดล้อม(30 ชุดx 2000 บาท)</t>
  </si>
  <si>
    <t xml:space="preserve">2.3.6 เผยแพร่ผลสำเร็จการดำเนินงาน และกรณีตัวอย่างเพื่อให้โรงงานนำไปปฏิบัติใช้  1 วัน </t>
  </si>
  <si>
    <t>1) ค่าจัดทำเอกสาร (100 ชุดx1ครั้ง x 200 บาท)</t>
  </si>
  <si>
    <t>2.3.7 ค่าใช้จ่ายในการจัดทำรายงาน</t>
  </si>
  <si>
    <t xml:space="preserve">1) รายงานเสนอคณะกรรมการประสานรับมอบงาน ( 1 ฉบับx10 เล่ม x10ครั้ง x200บาท) </t>
  </si>
  <si>
    <t>2) รายงานฉบับเบื้องต้น (1 ฉบับx 20 เล่ม x500 บาท)</t>
  </si>
  <si>
    <t>3) รายงานความก้าวหน้า ( 1 ฉบับ x20 เล่มx600 บาท)</t>
  </si>
  <si>
    <t>4) รายงานฉบับสมบูรณ์ และรายงานสรุปผู้บริหาร(อย่างละ 2 ฉบับ x 20 เล่ม x1,500 บาท)</t>
  </si>
  <si>
    <t>2.3.8 ค่าใช้จ่ายสำนักงาน</t>
  </si>
  <si>
    <t xml:space="preserve"> 1) ค่าสำนักงานและสาธารณูปโภค </t>
  </si>
  <si>
    <t xml:space="preserve"> 2) ค่าติดต่อสื่อสาร/ค่าเครื่องเขียนแบบพิมพ์</t>
  </si>
  <si>
    <t xml:space="preserve"> 3) ค่าใช้จ่ายเบ็ดเตล็ดอื่นๆ เช่น ค่าติดต่อประสานงาน </t>
  </si>
  <si>
    <t>การพัฒนาระบบการจัดการสิ่งแวดล้อมสำหรับประเภทอุตสาหกรรมที่มีมลพิษสูง (ชุบโลหะ) จำนวน ๓๐ โรงงาน</t>
  </si>
  <si>
    <t>2.4.1 จัดประชุมรณรงค์ภาคอุตสาหกรรมรักษาสิ่งแวดล้อม และเชิญชวนเข้าร่วมโครงการ  1 วัน</t>
  </si>
  <si>
    <t>4) ค่าพาหนะ(รถตู้ + ค่าน้ำมัน) (1 คัน x1 วัน x 2,500 บาท)</t>
  </si>
  <si>
    <t>2.4.2 จัดให้ความรู้เชิงปฏิบัติการให้พนักงานโรงงานละ 2 คน เพื่อเป็นพี่เลี้ยงไปถ่ายทอดในโรงงาน 30 โรงงานๆ ละ 3 วัน</t>
  </si>
  <si>
    <t>4) ค่าพาหนะ(รถตู้ + ค่าน้ำมัน) (1 คันx1 ครั้ง x3 วัน x 2,500 บาท)</t>
  </si>
  <si>
    <t xml:space="preserve">2.4.3 วางระบบการจัดการสิ่งแวดล้อมในโรงงานร่วมกับพนักงานเพื่อปรับปรุงแก้ไขกระบวนการผลิตให้ถูกต้องตามกฎหมาย ลดปัญหาสิ่งแวดล้อม ลดต้นทุนการผลิต 30 โรงๆ ละ 3 วัน </t>
  </si>
  <si>
    <t xml:space="preserve">2) วิเคราะห์น้ำระบบบำบัด(In-Eff) ก่อน-หลังการปรับปรุงรวม 16 ตัวอย่างๆ/30 โรง (pH CU Ni Zn Cr Pb หรือโลหะหนักอื่น) </t>
  </si>
  <si>
    <t>3) ค่าพาหนะ(รถตู้ + ค่าน้ำมัน) (1 คันx 30โรง x3 วัน x 2,500 บาท)</t>
  </si>
  <si>
    <t xml:space="preserve">2.4.4 ปรับปรุงแก้ไขกระบวนการผลิตให้ถูกต้องตามกฎหมาย ลดปัญหาสิ่งแวดล้อม ลดต้นทุนการผลิต และตรวจประเมินระบบการจัดการสิ่งแวดล้อม 30 โรงๆ ละ 3 วัน </t>
  </si>
  <si>
    <t>2) ค่าพาหนะ(รถตู้ + ค่าน้ำมัน) (1 คันx 30โรง x3 วัน x 2,500 บาท)</t>
  </si>
  <si>
    <t xml:space="preserve">2.4.5 จัดทำคู่มือการจัดการสิ่งแวดล้อม และตราสัญลักษณ์การรับรองระบบการจัดการสิ่งแวดล้อม   </t>
  </si>
  <si>
    <t xml:space="preserve">2.4.6 เผยแพร่ผลสำเร็จการดำเนินงาน และกรณีตัวอย่างเพื่อให้โรงงานนำไปปฏิบัติใช้  1 วัน </t>
  </si>
  <si>
    <t>2.4.7 ค่าใช้จ่ายในการจัดทำรายงาน</t>
  </si>
  <si>
    <t>2.4.8 ค่าใช้จ่ายสำนักงาน</t>
  </si>
  <si>
    <t>ส่งเสริมและพัฒนาสถานประกอบการสู่อุตสาหกรรมสีเขียว (Green Industry) จำนวน 1000 ราย</t>
  </si>
  <si>
    <t xml:space="preserve">2.5.1 ถ่ายทอดความรู้อุตสาหกรรมสีเขียว และสร้างความเข้าใจให้กลุ่มเป้าหมาย </t>
  </si>
  <si>
    <t xml:space="preserve">1) จัดทำคู่มืออุตสาหกรรมสีเขียว (2500 เล่ม x 200 บาท) </t>
  </si>
  <si>
    <t xml:space="preserve">2) ประชาสัมพันธ์เผยแพร่ทางสื่อโฆษณา Out of Home Media (OHM) (60 วัน x5000บาท) </t>
  </si>
  <si>
    <t>3) จัดทำจุลสาร Green Industry  (1,000 เล่ม x 100 บาท)</t>
  </si>
  <si>
    <t>4) เผยแพร่ทางสื่อวิทยุ 30 วินาที (60 ครั้ง x8,000 บาท)</t>
  </si>
  <si>
    <t>5) จัดทำสื่อวีดีทัศน์ 15 นาที</t>
  </si>
  <si>
    <t>6) จัดทำอุปกรณ์แสดงภาพแบบม้วนเก็บ (6ชุด x5000 บาท)</t>
  </si>
  <si>
    <t xml:space="preserve">2.5.2 จัดเสวนา ให้ความรู้และรับสมัครโรงงาน จำนวน 200 ราย จำนวน 5 ครั้ง </t>
  </si>
  <si>
    <t>1) ค่าจัดทำเอกสาร (200 ชุดx5ครั้ง x 70 บาท)</t>
  </si>
  <si>
    <t xml:space="preserve">2) ค่าอาหารและเครื่องดื่ม (200 คนx5ครั้ง x 600 บาท) </t>
  </si>
  <si>
    <t>3) ค่าวิทยากร ( 1 คนx7 ชั่วโมงx5 วัน x 1,200 บาท  )</t>
  </si>
  <si>
    <t>4) ค่าเบี้ยเลี้ยงทีมงาน (4 คน x5 วัน x 240 บาท)</t>
  </si>
  <si>
    <t>5) ค่าที่พักวิทยากร และทีมงาน (ตจว.) (5 คนx5วันx1,200 บาท)</t>
  </si>
  <si>
    <t>6) ค่าพาหนะ(รถตู้ + ค่าน้ำมัน) (1 คัน x5 วัน x 2,500 บาท)</t>
  </si>
  <si>
    <t>2.5.3 จัดบูธเพื่อให้สถานประกอบการได้จำหน่ายสินค้าภายใต้อุตสาหกรรมสีเขียวและบริการที่เป็นมิตรต่อสิ่งแวดล้อม</t>
  </si>
  <si>
    <t xml:space="preserve"> - ค่าจัดบูธ (3 ครั้ง x 35000 บาท)</t>
  </si>
  <si>
    <t>2.5.4 ค่าใช้จ่ายงานรับรางวัลอุตสาหกรรมสีเขียว</t>
  </si>
  <si>
    <t>1) ค่าจัดทำโล่ห์ (500  ชุดx 2,500 บาท)</t>
  </si>
  <si>
    <t>2) ค่าจัดทำเอกสาร (500 ชุดx 70 บาท)</t>
  </si>
  <si>
    <t xml:space="preserve">3) ค่าอาหารและเครื่องดื่ม (500 คนx 600 บาท) </t>
  </si>
  <si>
    <t>4) ค่าวิทยากร ( 1 คนx7 ชั่วโมงx1 วัน x 1,200 บาท  )</t>
  </si>
  <si>
    <t>5) ค่าเบี้ยเลี้ยงทีมงาน (4 คน x1 วัน x 240 บาท)</t>
  </si>
  <si>
    <t>2.5.5 ค่าใช้จ่ายในการจัดทำโปรแกรมเพื่อพัฒนาฐานข้อมูลอุตสาหกรรมสีเขียว</t>
  </si>
  <si>
    <t>ค่าจัดทำโปรแกรมเพื่อพัฒนาฐานข้อมูลอุตสาหกรรมสีเขียว</t>
  </si>
  <si>
    <t>2.5.6 ค่าใช้จ่ายในการจัดทำรายงาน</t>
  </si>
  <si>
    <t>2.5.7 ค่าใช้จ่ายสำนักงาน</t>
  </si>
  <si>
    <t xml:space="preserve">1) ค่าสำนักงานและสาธารณูปโภค </t>
  </si>
  <si>
    <t>2) ค่าติดต่อสื่อสาร/ค่าเครื่องเขียนแบบพิมพ์</t>
  </si>
  <si>
    <t xml:space="preserve">3) ค่าใช้จ่ายเบ็ดเตล็ดอื่นๆ เช่น ค่าติดต่อประสานงาน </t>
  </si>
  <si>
    <t xml:space="preserve">ให้คำแนะนำเชิงลึกแก่สถานประกอบการเพื่อมุ่งสู่การเป็นอุตสาหกรรมสีเขียว จำนวน 700 ราย </t>
  </si>
  <si>
    <t>2.6.1 ถ่ายทอดความรู้เกี่ยวกับสิ่งแวดล้อม อุตสาหกรรมสีเขียว และการลดต้นทุนการผลิต</t>
  </si>
  <si>
    <t>1) ค่าจัดทำเอกสาร (200 ชุดx4 วันx 70 บาท )</t>
  </si>
  <si>
    <t xml:space="preserve">2) ค่าอาหารและเครื่องดื่ม  (200 คนx 4วัน x 600 บาท ) </t>
  </si>
  <si>
    <t>3) ค่าวิทยากร  (1 คน x7 ชั่วโมง x4 วัน x 1,200 บาท )</t>
  </si>
  <si>
    <t>4) ค่าที่พักวิทยากร และทีมงาน (ตจว.) ( 5 คนx 4วันx 1,200 บาท )</t>
  </si>
  <si>
    <t>5) ค่าเบี้ยเลี้ยงทีมงาน (4 คน x 4 วัน x 240 บาท)</t>
  </si>
  <si>
    <t>6) ค่าพาหนะ(รถตู้ + ค่าน้ำมัน) (4 วัน x2,500 บาท )</t>
  </si>
  <si>
    <t>2.6.2 การถ่ายทอด และให้คำแนะนำเชิงลึกที่โรงงานเพื่อมุ่งสู่การเป็นอุตสาหกรรมสีเขียว 2 วัน</t>
  </si>
  <si>
    <t>1) ค่าจัดทำเอกสาร (700 ชุดx 70 บาท x2 วัน)</t>
  </si>
  <si>
    <t>2) ค่าพาหนะวิทยากรและทีมงาน (700 ราย (วันๆละ2 ราย)  xรถตู้ 1 คัน  x 2 ครั้ง x 2,500 บาท )</t>
  </si>
  <si>
    <t>3) ค่าเบี้ยเลี้ยงทีมงาน (3 คน x2 ครั้งx700โรงงานx 240 บาท)</t>
  </si>
  <si>
    <t>4) ค่าที่พักวิทยากร และทีมงาน (3 คน x2 ครั้งx700โรงงานx1200 บาท )</t>
  </si>
  <si>
    <t>2.6.3 ค่าใช้จ่ายในการจัดทำเอกสารและรายงาน</t>
  </si>
  <si>
    <t xml:space="preserve">1) รายงานเสนอคณะกรรมการประสานรับมอบงาน ( 2 ฉบับ*10 เล่ม *10ครั้ง *200บาท) </t>
  </si>
  <si>
    <t>2) รายงานฉบับเบื้องต้น (2 ฉบับ 20 เล่ม * 500 บาท)</t>
  </si>
  <si>
    <t>3) รายงานความก้าวหน้า (2 ฉบับ *20 เล่ม*600 บาท)</t>
  </si>
  <si>
    <t>4) รายงานฉบับสมบูรณ์ และรายงานสรุปผู้บริหาร(อย่างละ 2 ฉบับ * 20 เล่ม *1,500 บาท)</t>
  </si>
  <si>
    <t>2.6.4 ค่าใช้จ่ายสำนักงาน</t>
  </si>
  <si>
    <t>ตรวจประเมินสถานประกอบการที่ขอเทียบระดับหรือเลื่อนระดับสู่อุตสาหกรรมสีเขียว 200 ราย</t>
  </si>
  <si>
    <t>2.7.1 ตรวจประเมินสถานประกอบการที่ขอเทียบระดับหรือเลื่อนระดับสู่อุตสาหกรรมสีเขียว</t>
  </si>
  <si>
    <t>1) ค่าจัดทำเอกสาร (200 ชุดx 70 บาท)</t>
  </si>
  <si>
    <t>2) ค่าพาหะเดินทาง (ตจว.) (รถตู้ 1 คัน x 200วันx 1,200 บาท)</t>
  </si>
  <si>
    <t>3) ค่าพาหะเดินทาง (ตจว.) เครื่องบิน 20 เที่ยวx 4 คนx5,000 บาท)</t>
  </si>
  <si>
    <t>4) ค่าเบี้ยเลี้ยงทีมงาน (4 คนx 200 วัน x 240 บาท )</t>
  </si>
  <si>
    <t>5) ค่าที่พักผู้เชี่ยวชาญ และทีมงาน (ตจว.) (4 คนx200วันx1,200 บาท)</t>
  </si>
  <si>
    <t>2.7.2 ค่าใช้จ่ายในการจัดทำเอกสารและรายงาน</t>
  </si>
  <si>
    <t xml:space="preserve">1) รายงานเสนอคณะกรรมการประสานรับมอบงาน (1 ฉบับ*10 เล่ม *10ครั้ง *200บาท) </t>
  </si>
  <si>
    <t>2) รายงานฉบับเบื้องต้น 1 ฉบับ 20 เล่ม * 500 บาท)</t>
  </si>
  <si>
    <t>3) รายงานความก้าวหน้า ( 2 ฉบับ *20 เล่ม*600 บาท)</t>
  </si>
  <si>
    <t>4) รายงานฉบับสมบูรณ์ และรายงานสรุปผู้บริหาร(อย่างละ 1 ฉบับ * 20 เล่ม *2,000 บาท)</t>
  </si>
  <si>
    <t>2.7.3 ค่าใช้จ่ายสำนักงาน</t>
  </si>
  <si>
    <t xml:space="preserve">รวมทั้งสิ้น </t>
  </si>
  <si>
    <t>โครงการการรายงานข้อมูลตามกฎหมายควบคุมการปนเปื้อนในดินและน้ำใต้ดินทางอิเล็กทรอนิกส์</t>
  </si>
  <si>
    <t xml:space="preserve"> - ผู้จัดการโครงการ ป.เอก ประสบการณ์ 10 ปี ( 60,000 บาท x 7 เดือน)</t>
  </si>
  <si>
    <t xml:space="preserve"> - ผู้เชี่ยวชาญด้านติดตามตรวจสอบการปนเปื้อนในดินและน้ำใต้ดิน ป.เอก ประสบการณ์ 7 ปี ( 60,000 บาท x 4 เดือน)
</t>
  </si>
  <si>
    <t xml:space="preserve"> - ผู้เชี่ยวชาญด้านคอมพิวเตอร์ ป.เอก ประสบการณ์ 7 ปี ( 60,000 บาท x 7 เดือน)</t>
  </si>
  <si>
    <t xml:space="preserve"> - นักคอมพิวเตอร์ ป.ตรี ประสบการณ์ 3 ปี ( 30,000 บาท x 7 เดือน)</t>
  </si>
  <si>
    <t xml:space="preserve"> - นักวิชาการสิ่งแวดล้อม ป.ตรี ประสบการณ์ 3 ปี ( 30,000 บาท x 7 เดือน)</t>
  </si>
  <si>
    <t xml:space="preserve"> - ผู้ประสานงานโครงการ ป.ตรี ประสบการณ์ 3 ปี (30,000 บาท x 9 เดือน)</t>
  </si>
  <si>
    <t xml:space="preserve"> - เจ้าหน้าที่บันทึกข้อมูล ป.ตรี ประสบการณ์ 1 ปี ( 15,000 บาท/ 9 เดือน)</t>
  </si>
  <si>
    <t>ค่าใช้จ่ายในการดำเนินการ</t>
  </si>
  <si>
    <t xml:space="preserve">1) กิจกรรมการจัดทำฐานข้อมูลพื้นที่ (Baseline Database) และระบบการตรวจสอบคุณภาพดินและน้ำใต้ดิน รวมถึงโปรแกรมเพื่อการจัดการ โดยการลงพื้นที่สำรวจ ศึกษาข้อมูล รวบรวมข้อมูลโครงการ </t>
  </si>
  <si>
    <t>2)  สัมมนา/รับฟังความคิดเห็น 300 คน</t>
  </si>
  <si>
    <t>(1) ค่าจัดทำเอกสาร (300 ชุด x 200 บาท)</t>
  </si>
  <si>
    <t xml:space="preserve">(2) ค่าอาหารและเครื่องดื่ม (300 คน x 650 บาท) </t>
  </si>
  <si>
    <t>3)  ค่าเดินทางเข้าทดสอบระบบที่โรงงานต้นแบบ 1 แห่ง 3 ครั้ง</t>
  </si>
  <si>
    <t xml:space="preserve">  - ค่ารถ+น้ำมัน (3,000 บาท x 7 วัน)  </t>
  </si>
  <si>
    <t xml:space="preserve">   - ค่าที่พัก (2 คน x  7 วัน x 800 บาท )</t>
  </si>
  <si>
    <t xml:space="preserve">   - ค่าเบี้ยเลี้ยง (2 คน x  7 วัน x 240 บาท )</t>
  </si>
  <si>
    <t>4)  ค่าทดสอบระบบและแก้ไขปัญหา ( 3 ครั้ง x 50,000 บาท)</t>
  </si>
  <si>
    <t>5) จัดทำคู่มือการใช้ระบบการรายงานผลการตรวจสอบคุณภาพดินและน้ำใต้ดินผ่านระบบอิเล็กทรอนิกส์ ( 1,000 เล่ม x  500 บาท)</t>
  </si>
  <si>
    <t>6) การเผยแพร่องค์ความรู้ให้แก่ผู้ประกอบการโดยผ่านสื่อต่างๆ เช่น ซีดีรอมข้อมูล / X-Stand /แผ่นพับ</t>
  </si>
  <si>
    <t xml:space="preserve"> - ค่าจัดทำ DVD  (1,000 แผ่น x 30 บาท)</t>
  </si>
  <si>
    <t xml:space="preserve"> - ค่าจัดทำแผ่นพับและ x-stand</t>
  </si>
  <si>
    <t xml:space="preserve">
ประสบการณ์
(ปี)
</t>
  </si>
  <si>
    <t>.</t>
  </si>
  <si>
    <t>(1)</t>
  </si>
  <si>
    <t>(1.1) บุคลากร</t>
  </si>
  <si>
    <t xml:space="preserve">เจ้าหน้าที่เก็บข้อมูลภาคสนาม ประสบการณ์ 5 ปีขึ้นไป </t>
  </si>
  <si>
    <t>5 ปี</t>
  </si>
  <si>
    <t>ผู้ประสานงานโครงการ</t>
  </si>
  <si>
    <t>เจ้าหน้าที่บันทึกข้อมูล</t>
  </si>
  <si>
    <t xml:space="preserve">(1.3.1) กิจกรรมเปิดตัวโครงการ จำนวน 1 ครั้ง </t>
  </si>
  <si>
    <t xml:space="preserve">ค่าสถานที่จัดประชุม (10,000 x 1 ครั้ง) </t>
  </si>
  <si>
    <t>ค่าจัดเตรียมเอกสารประกอบการประชุม (70 บาท x 150 ชุด)</t>
  </si>
  <si>
    <t xml:space="preserve">ค่าวิทยากร ( 1200 บาท x 7 ชั่วโมง x 2 คน) </t>
  </si>
  <si>
    <t xml:space="preserve">ค่าเบี้ยเลี้ยงเจ้าหน้าที่  (240 บาท x 10 คน x1 วัน) </t>
  </si>
  <si>
    <t xml:space="preserve">ค่าอาหารว่าง 2 มื้อ (มื้อละ 50 บาท x 2 มื้อ x 150 คน) </t>
  </si>
  <si>
    <t xml:space="preserve">ค่าอาหารกลางวัน (550 บาทx 150 คน) </t>
  </si>
  <si>
    <t>ค่าใช้จ่ายอื่นๆ</t>
  </si>
  <si>
    <t>(1.3.2) กิจกรรมการจัดทำฐานข้อมูลพื้นที่ โดยการลงพื้นที่สำรวจ ศึกษาข้อมูล รวบรวมข้อมูล (6 ครั้ง/พื้นที่)</t>
  </si>
  <si>
    <t xml:space="preserve">ค่าใช้จ่ายด้านเอกสาร </t>
  </si>
  <si>
    <t xml:space="preserve">ค่าพาหนะ (รถตู้รวมค่าน้ำมัน) (1 คัน x 10 พื้นที่ x 12 วัน ) </t>
  </si>
  <si>
    <t>ค่าเบี้ยเลี้ยง (จำนวน 6 คนx วันละ 240 บาท x 24 วัน x 10 พื้นที่)</t>
  </si>
  <si>
    <t>ค่าที่พัก (1,000 บาท x 3 ห้อง x 12 คืนx 10 พื้นที่)</t>
  </si>
  <si>
    <t>ค่าใช้จ่ายอื่นๆ (10,000/พื่นที่)</t>
  </si>
  <si>
    <t>(1.3.3) จัดทำข้อมูลที่ศึกษาให้อยู่ในรูปของระบบสารสนเทศภูมิศาสตร์ (Geographic Information System)</t>
  </si>
  <si>
    <t>แผนที่ฐาน 10 จังหวัด (Base Map)</t>
  </si>
  <si>
    <t>(1.3.4) กิจกรรมจัดการประชุมรับฟังความคิดเห็น (10 พื้นที่ x 1 ครั้ง)</t>
  </si>
  <si>
    <t xml:space="preserve">ค่าสถานที่จัดประชุม (10,000x 10 พื้นที่ x 1 ครั้ง) </t>
  </si>
  <si>
    <t>ค่าจัดเตรียมเอกสารประกอบการประชุม (70 บาท x 1000 ชุด)</t>
  </si>
  <si>
    <t xml:space="preserve">ค่าพาหนะ (รถตู้รวมค่าน้ำมัน) (2 คันx10 พื้นที่ x 2 วัน) </t>
  </si>
  <si>
    <t xml:space="preserve">ค่าวิทยากร ( 1200 บาท x 7 ชั่วโมง x 2 คนx10 พื้นที่) </t>
  </si>
  <si>
    <t xml:space="preserve">ค่าที่พักวิทยากร (1,200 บาท x 2 ห้อง  x10 พื้นที่ x 1 คืน) </t>
  </si>
  <si>
    <t xml:space="preserve">ค่าเบี้ยเลี้ยงเจ้าหน้าที่  (240 บาท x 10 คน x10 พื้นที่ x 2 วัน) </t>
  </si>
  <si>
    <t xml:space="preserve">ค่าอาหารว่าง 2 มื้อ (มื้อละ 50 บาท x 2 มื้อ x 1000 คน) </t>
  </si>
  <si>
    <t xml:space="preserve">ค่าอาหารกลางวัน (550 บาทx 1000 คน) </t>
  </si>
  <si>
    <t xml:space="preserve">ค่าที่พัก (1,000 บาท x 5 ห้อง x 2 คืน x10 พื้นที่) </t>
  </si>
  <si>
    <t>ค่าใช้จ่ายอื่นๆ (10,000/พื้นที่)</t>
  </si>
  <si>
    <t xml:space="preserve">(1.3.5) ถ่ายทอดและเผยแพร่แผนพัฒนาพื้นที่ (1 ครั้ง 10 พื้นที่) </t>
  </si>
  <si>
    <t xml:space="preserve">ค่าเบี้ยเลี้ยงเจ้าหน้าที่  (240 บาท x 10คน x12 พื้นที่ x 2 วัน) </t>
  </si>
  <si>
    <t xml:space="preserve">ค่าที่พัก (1,000 บาท x 5 ห้อง x 2 คืน x12 พื้นที่) </t>
  </si>
  <si>
    <t>ค่าแผ่นพับประชาสัมพันธ์ (3,000 แผ่น)</t>
  </si>
  <si>
    <t>ค่าเอกสารประกอบการสัมมนาประชาสัมพันธ์ (700 ชุด)</t>
  </si>
  <si>
    <t>โปสเตอร์ประชาสัมพันธ์ ขนาด A2 พิมพ์ 4 สี (600 ชุด)</t>
  </si>
  <si>
    <t>แผ่นป้ายแบนเนอร์ ขนาด 1.2x2.4 เมตร</t>
  </si>
  <si>
    <t>วิดีทัศน์สรุปโครงการฯ (ความยาวไม่น้อยกว่า 4 นาที)</t>
  </si>
  <si>
    <t>500</t>
  </si>
  <si>
    <t xml:space="preserve">รายงานฉบับที่ 2 </t>
  </si>
  <si>
    <t xml:space="preserve">รายงานฉบับที่ 3 </t>
  </si>
  <si>
    <t xml:space="preserve">รายงานฉบับที่ 4 </t>
  </si>
  <si>
    <t>1) รายงานฉบับสมบูรณ์ ภาษาไทย พร้อม CD-Rom (800 บาท x 11 ฉบับ )</t>
  </si>
  <si>
    <t>2) รายงานสรุปสำหรับผู้บริหารภาษาไทย (400 บาท x 11 ฉบับ )</t>
  </si>
  <si>
    <t>3) รายงานสรุปสำหรับผู้บริหารภาษาอังกฤษ (800 บาท x 11 ฉบับ )</t>
  </si>
  <si>
    <t>รายงานสรุปแผนการพัฒนาพื้นที่อุตสาหกรรมรายจังหวัด (40 เล่ม/จังหวัด)</t>
  </si>
  <si>
    <t>ป.ตรี</t>
  </si>
  <si>
    <t>ป.โท</t>
  </si>
  <si>
    <t>ป.เอก</t>
  </si>
  <si>
    <t>(1.3) ค่าใช้จ่ายอื่น</t>
  </si>
  <si>
    <t>ชิ้น</t>
  </si>
  <si>
    <t xml:space="preserve">รวมเงิน
</t>
  </si>
  <si>
    <t xml:space="preserve">             ค่าตอบแทนที่ปรึกษา(ด้านไฟฟ้า)</t>
  </si>
  <si>
    <t xml:space="preserve">             ค่าตอบแทนที่ปรึกษา(ด้านระบบฐานข้อมูล)</t>
  </si>
  <si>
    <t xml:space="preserve">             ค่าตอบแทนที่ปรึกษา(ด้านระบบมาตรฐานบริหารการจัดการ)</t>
  </si>
  <si>
    <t xml:space="preserve">             ค่าตอบแทนที่ปรึกษา(ด้านเครื่องกล)</t>
  </si>
  <si>
    <t xml:space="preserve"> - ค่าตอบแทนที่ปรึกษา(ด้านภาชนะรับแรงดัน)</t>
  </si>
  <si>
    <t xml:space="preserve"> - ค่าตอบแทนที่ปรึกษา(ด้านวัสดุ)</t>
  </si>
  <si>
    <t xml:space="preserve"> - ค่าตอบแทนที่ปรึกษา(ด้านระบบทำความเย็น)</t>
  </si>
  <si>
    <t xml:space="preserve"> - ค่าตอบแทนที่ปรึกษา(ด้านอุบัติภัยและอัคคีภัย)</t>
  </si>
  <si>
    <t xml:space="preserve"> - ค่าตอบแทนที่ปรึกษา(ด้านสภาวะการทำงาน)</t>
  </si>
  <si>
    <t xml:space="preserve"> - ค่าตอบแทนที่ปรึกษา(ด้านการประเมินและรับรองระบบ)</t>
  </si>
  <si>
    <t xml:space="preserve">   โปรแกรมเมอร์</t>
  </si>
  <si>
    <t xml:space="preserve">   นักพัฒนาสื่อออนไลน์</t>
  </si>
  <si>
    <t xml:space="preserve">   วิทยากรที่ปรึกษาอบรมมาตรฐานความปลอดภัยเบื้องต้น</t>
  </si>
  <si>
    <t>80 man-day</t>
  </si>
  <si>
    <t xml:space="preserve">   ผู้ประเมิน Verification</t>
  </si>
  <si>
    <t xml:space="preserve">   นักวิทยาศาสตร์</t>
  </si>
  <si>
    <t xml:space="preserve">   วิศวกรเครื่องกล</t>
  </si>
  <si>
    <t xml:space="preserve"> - ค่าตอบแทนบุคลากรสนับสนุน(ช่างเทคนิค)</t>
  </si>
  <si>
    <t xml:space="preserve"> </t>
  </si>
  <si>
    <t xml:space="preserve"> - เลขานุการโครงการ</t>
  </si>
  <si>
    <t xml:space="preserve"> - พนักงานพิมพ์ดีด/เจ้าหน้าที่บันทึกข้อมูล</t>
  </si>
  <si>
    <t>(1.3.1) กิจกรรมที่ 1 การส่งเสริมการป้องกันอัคคีภัยภายใต้ Safety Thailand</t>
  </si>
  <si>
    <t>รายละเอียดค่าใช้จ่ายในการดำเนินกิจกรรม</t>
  </si>
  <si>
    <t xml:space="preserve"> - ค่าจัดพิมพ์คู่มือ 600 เล่ม</t>
  </si>
  <si>
    <t xml:space="preserve"> - ค่าจัดฝึกอบรมแนะนำวิธีปฏิบัติ 45 โรง</t>
  </si>
  <si>
    <t xml:space="preserve">    ค่าเอกสาร 95 ชุด</t>
  </si>
  <si>
    <t xml:space="preserve">    ค่าอาหารกลางวัน 95 ชุด (2 วัน)</t>
  </si>
  <si>
    <t xml:space="preserve">    ค่าอาหารว่าง 95 คน x 2 ชุด (2 วัน)</t>
  </si>
  <si>
    <t xml:space="preserve">    ค่าวิทยากร (1200 x 7 ชม.)</t>
  </si>
  <si>
    <t xml:space="preserve">    ค่าสถานที่ 190 ตรม. (2 วัน)</t>
  </si>
  <si>
    <t xml:space="preserve">    ค่าเบี้ยเลี้ยงพนักงาน 3 คน (2 วัน)</t>
  </si>
  <si>
    <t xml:space="preserve">    ค่าใช้จ่ายอื่นๆ (เหมาจ่าย)</t>
  </si>
  <si>
    <t xml:space="preserve"> - ค่าเดินทางติดตามผลโรงงาน 45 โรง (3 ครั้ง)</t>
  </si>
  <si>
    <t xml:space="preserve">   ค่าเช่ารถตู้ (270 วัน)</t>
  </si>
  <si>
    <t xml:space="preserve">   ค่าที่พัก (4 คน 135 คืน)</t>
  </si>
  <si>
    <t xml:space="preserve">   ค่าเบี้ยเลี้ยง (4 คน 270 วัน)</t>
  </si>
  <si>
    <t xml:space="preserve">   ค่าใช้จ่ายอื่นๆ (เหมาจ่าย)</t>
  </si>
  <si>
    <t xml:space="preserve"> - ค่าฝึกอบรมแนะนำ 500 คน (4 ครั้ง ครั้งละ 3 วัน)</t>
  </si>
  <si>
    <t xml:space="preserve">   ค่าเอกสาร 500 ชุด</t>
  </si>
  <si>
    <t xml:space="preserve">   ค่าอาหารกลางวัน 505 คน (พร้อม จนท.)</t>
  </si>
  <si>
    <t xml:space="preserve">    ค่าอาหารว่าง 505 คน x 2 ชุด (3 วัน)</t>
  </si>
  <si>
    <t xml:space="preserve">    ค่าวิทยากร (1200 x 21 ชม.) 4 ครั้ง</t>
  </si>
  <si>
    <t xml:space="preserve">    ค่าสถานที่ 252 ตรม. (3 วัน) 4 ครั้ง</t>
  </si>
  <si>
    <t xml:space="preserve">    ค่าเบี้ยเลี้ยงพนักงาน 3 คน (4 วัน) 4 ครั้ง</t>
  </si>
  <si>
    <t xml:space="preserve">   ค่าเช่ารถตู้คณะทำงานพร้อมสัมภาระ 4 วัน/ครั้ง (4 ครั้ง)</t>
  </si>
  <si>
    <t xml:space="preserve">   ค่าที่พักคณะทำงาน (4 คน 3 คืน/ครั้ง) 4 ครั้ง</t>
  </si>
  <si>
    <t xml:space="preserve"> - ค่าฝึกบรม จนท.อุตสาหกรรม 60 คน (2 วัน)</t>
  </si>
  <si>
    <t xml:space="preserve">   ค่าเอกสาร 60 ชุด</t>
  </si>
  <si>
    <t xml:space="preserve">   ค่าอาหารกลางวัน 65 คน (2 วัน)</t>
  </si>
  <si>
    <t xml:space="preserve">   ค่าอาหารว่าง 65 คน x 2 ชุด (2 วัน)</t>
  </si>
  <si>
    <t xml:space="preserve">   ค่าวิทยากร (1200 x 7 ชม.) 2 วัน</t>
  </si>
  <si>
    <t xml:space="preserve">   ค่าสถานที่ 130 ตรม. (2 วัน)</t>
  </si>
  <si>
    <t xml:space="preserve">   ค่าที่พักคณะทำงาน (4 คน 2 คืน/ครั้ง)</t>
  </si>
  <si>
    <t xml:space="preserve">   ค่าที่พัก จนท.อุตสาหกรรมที่เข้าอบรม 60 คน (ห้องละ 2 คน)</t>
  </si>
  <si>
    <t xml:space="preserve">   ค่าเบี้ยเลี้ยงพนักงาน 3 คน (2 วัน) </t>
  </si>
  <si>
    <t xml:space="preserve"> - ค่าสัมมนาเผยแพร่ผลงาน 200 คน (1 วัน)</t>
  </si>
  <si>
    <t xml:space="preserve">   ค่าเอกสาร 200 ชุด</t>
  </si>
  <si>
    <t xml:space="preserve">   ค่าอาหารกลางวัน 220 คน (รวมคณะทำงาน และ จนท.)</t>
  </si>
  <si>
    <t xml:space="preserve">   ค่าอาหารว่าง 220 คน x 2 ชุด</t>
  </si>
  <si>
    <t xml:space="preserve">   ค่าวิทยากร (1200 x 7 ชม.)</t>
  </si>
  <si>
    <t xml:space="preserve">   ค่าสถานที่ 440 ตรม. </t>
  </si>
  <si>
    <t xml:space="preserve">   ค่าเบี้ยเลี้ยงพนักงาน 3 คน</t>
  </si>
  <si>
    <t xml:space="preserve"> - ค่าจัดทำสื่ออิเล็กทรอนิกส์ 1 เรื่อง (7 นาที)</t>
  </si>
  <si>
    <t>- การจัดเตรียมเอกสารรายงาน</t>
  </si>
  <si>
    <t xml:space="preserve"> - รายงานฉบับต้น</t>
  </si>
  <si>
    <t xml:space="preserve"> - รายงานความก้าวหน้าฉบับที่ 2</t>
  </si>
  <si>
    <t xml:space="preserve"> - รายงานความก้าวหน้าฉบับที่ 3</t>
  </si>
  <si>
    <t xml:space="preserve">   บทสรุปผู้บริหาร</t>
  </si>
  <si>
    <t>(1.3.2) กิจกรรมที่ 2 การส่งเสริมพัฒนาความปลอดภัยสารเคมีภาคอุตสาหกรรม</t>
  </si>
  <si>
    <t>กิจกรรมย่อยที่ 1 ส่งเสริมให้เกิดความปลอดภัยสารเคมีในภาคอุตสาหกรรม</t>
  </si>
  <si>
    <t xml:space="preserve">การสร้างความรู้ ความเข้าใจเกี่ยวกับความปลอดภัยสารเคมี และชี้แจงรายละเอียดโครงการ </t>
  </si>
  <si>
    <t xml:space="preserve">ค่าเช่าสถานที่และโสตทัศนอุปกรณ์ </t>
  </si>
  <si>
    <t xml:space="preserve">ค่าอาหารกลางวัน </t>
  </si>
  <si>
    <t>ค่าอาหารว่าง (2 มื้อ)</t>
  </si>
  <si>
    <t xml:space="preserve">ค่าวิทยากรบรรยาย </t>
  </si>
  <si>
    <t>คน-ชม.</t>
  </si>
  <si>
    <t>ค่าวิทยากรอภิปราย (4 คน x 4 ชม.)</t>
  </si>
  <si>
    <t>ค่าเอกสารประกอบการประชุม</t>
  </si>
  <si>
    <t>ให้ความรู้และให้คำแนะนำเพื่อเตรียมความพร้อมให้แก่โรงงานที่ได้รับคัดเลือกเข้าร่วมโครงการ</t>
  </si>
  <si>
    <t xml:space="preserve">การเพิ่มประสิทธิภาพการปฏิบัติงานของเจ้าหน้าที่รัฐให้มีองค์ความรู้เกี่ยวกับความปลอดภัยสารเคมี </t>
  </si>
  <si>
    <t>ค่าอาหารกลางวัน (25 คน x 1 วัน x 4 ครั้ง)</t>
  </si>
  <si>
    <t>ค่าอาหารกลางวันและอาหารเย็น (25 คน x 1 วัน x 4 ครั้ง)</t>
  </si>
  <si>
    <t>ค่าอาหารว่าง (25 คน x 2 มื้อ x 2 วัน x 4 ครั้ง)</t>
  </si>
  <si>
    <t>ค่าเอกสาร (25 คน x 4 ครั้ง x 2 วัน)</t>
  </si>
  <si>
    <t>ค่าเช่ารถตู้ (4 คัน x 4 ครั้ง)</t>
  </si>
  <si>
    <t>ค่าวิทยากร (7 ชม. X 2 วัน x 4 ครั้ง)</t>
  </si>
  <si>
    <t>ค่าที่พักผู้เข้าร่วม (25 คน x  1 คืน x 4 ครั้ง)</t>
  </si>
  <si>
    <t xml:space="preserve"> เพิ่มศักยภาพผู้ประกอบการสามารถปฏิบัติงานได้โดยให้คำแนะนำและสอนงาน (Supervise and Coaching) แก่โรงงาน </t>
  </si>
  <si>
    <t>ค่าเช่ารถตู้ รวมน้ำมัน (100 โรงงาน x 2 วัน x 2 ครั้ง)</t>
  </si>
  <si>
    <t>ค่าเครื่องบิน (28 โรงงาน X 2 คน  x 2 ครั้ง)</t>
  </si>
  <si>
    <t>ค่าที่พักวิทยากร (100 โรงงาน  x  2 คน x 1 คืน  x 2 ครั้ง)</t>
  </si>
  <si>
    <t>ค่าเอกสารประกอบการตรวจ (1 ชุด  x 100 โรงงาน)</t>
  </si>
  <si>
    <t>ประเมินผลและทวนสอบ (Evaluate and Verified) โรงงาน เพื่อให้ผู้ประกอบการพัฒนาขีดความสามารถเพิ่มขึ้น</t>
  </si>
  <si>
    <t>ค่าเช่ารถตู้ รวมน้ำมัน (100 โรงงาน x 2 วัน x 1 ครั้ง)</t>
  </si>
  <si>
    <t>ค่าเครื่องบิน (28 โรงงาน X 2 คน  x 1 ครั้ง)</t>
  </si>
  <si>
    <t>ค่าที่พักวิทยากร (50 โรงงาน  x  2 คน x 1 คืน  x 1 ครั้ง)</t>
  </si>
  <si>
    <t>ถ่ายทอดองค์ความรู้และประสบการณ์และสรุปผลการดำเนินโครงการ ให้แก่องค์กรภาคธุรกิจ และหน่วยงานภาคราชการที่เกี่ยวข้อง</t>
  </si>
  <si>
    <t>โล่รางวัลและประกาศเกียรติบัตรแก่โรงงานที่เข้าร่วมดำเนินการ</t>
  </si>
  <si>
    <t>การเผยแพร่องค์ความรู้ให้แก่ผู้ประกอบการโดยผ่านสื่อต่างๆ เช่น เอกสารคู่มือ / ซีดีรอมข้อมูล / วีดิทัศน์ /แผ่นป้าย</t>
  </si>
  <si>
    <t>จัดทำวีดีทัศน์สรุปผลการดำเนินงาน ความยาวไม่เกิน 5 นาที</t>
  </si>
  <si>
    <t xml:space="preserve">โปสเตอร์ ขนาด A2 พิมพ์ 4 สี </t>
  </si>
  <si>
    <t>แผ่น Roll up (2 เรื่อง x 2 ชุด)</t>
  </si>
  <si>
    <t xml:space="preserve">จัดทำ CD องค์ความรู้ด้านมาตรฐานความปลอดภัยในรูปแบบ เช่น วีดิทัศน์ </t>
  </si>
  <si>
    <t>การจัดทำเอกสารรายงาน</t>
  </si>
  <si>
    <t>รายงานผลการดำเนินการของผู้ประกอบการ (100 โรงงาน )</t>
  </si>
  <si>
    <t>แผนการดำเนินโครงการ 8 ฉบับ พร้อม CD-Rom 1 แผ่น</t>
  </si>
  <si>
    <t>รายงานฉบับที่ 1 จำนวน 8 ฉบับ พร้อม CD-Rom 1 แผ่น</t>
  </si>
  <si>
    <t>รายงานฉบับที่ 2 จำนวน 8 ฉบับ พร้อม CD-Rom 1 แผ่น</t>
  </si>
  <si>
    <t>รายงานฉบับที่ 3 จำนวน 8 ฉบับ พร้อม CD-Rom 1 แผ่นพร้อม CD-Rom</t>
  </si>
  <si>
    <t>1) รายงานฉบับสมบูรณ์ ภาษาไทย พร้อม CD-Rom</t>
  </si>
  <si>
    <t>2) รายงานสรุปสำหรับผู้บริหาร ไทยและอังกฤษ</t>
  </si>
  <si>
    <t>กิจกรรมย่อยที่ 2 พัฒนาระบบสารสนเทศความปลอดภัยสารเคมีในภาคอุตสาหกรรม</t>
  </si>
  <si>
    <t xml:space="preserve">ออกแบบและพัฒนาระบบสารสนเทศการประเมินความปลอดภัยด้านสารเคมีภายในโรงงานอุตสาหกรรม โดยนำข้อกำหนดทางกฎหมายและหลักเกณฑ์ความปลอดภัยสารเคมีมาเป็นเงื่อนไขในการพัฒนาระบบ และระบบสามารถเชื่อมโยงข้อมูลกับฐานข้อมูลโรงงานของกรมโรงงานอุตสาหกรรมได้ </t>
  </si>
  <si>
    <t>ค่าออกแบบและพัฒนาระบบสารสนเทศ</t>
  </si>
  <si>
    <t xml:space="preserve">ออกแบบ พัฒนาและปรับปรุงระบบสารสนเทศข้อมูลสารเคมีในโรงงานอุตสาหกรรม ให้สามารถประมวลผลได้ในเชิงพื้นที่ และเชื่อมโยงกับหน่วยงานเครือข่าย จำนวนอย่างน้อย 2 เครือข่าย </t>
  </si>
  <si>
    <t>จัดประชุมกลุ่มย่อยกับผู้เกี่ยวข้องเพื่อระดมความคิดเห็นในการพัฒนาระบบไม่น้อยกว่า 4 ครั้ง</t>
  </si>
  <si>
    <t>ค่าอาหารกลางวัน (15 คน X 4 ครั้ง)</t>
  </si>
  <si>
    <t>ค่าอาหารว่าง (15 คน X 4 ครั้ง x 2 มื้อ)</t>
  </si>
  <si>
    <t xml:space="preserve"> สำรวจข้อมูลสารเคมีที่มีการผลิต เก็บ หรือใช้ในโรงงานอุตสาหกรรม ไม่น้อยกว่า 500 โรงงาน และบันทึกข้อมูลสารเคมีลงในระบบสารสนเทศข้อมูลสารเคมีโรงงานอุตสาหกรรม</t>
  </si>
  <si>
    <t>ค่าเช่ารถตู้ รวมน้ำมัน (500 โรงงาน)</t>
  </si>
  <si>
    <t>ค่าจ้างพนักงานสำรวจข้อมูลสารเคมี</t>
  </si>
  <si>
    <t xml:space="preserve"> ฝึกอบรมการใช้งานระบบ ให้แก่ผู้ประกอบกิจการโรงงาน เจ้าหน้าที่กระทรวงอุตสาหกรรม และผู้ที่เกี่ยวข้อง รวมทั้งสิ้นไม่น้อยกว่า 100 คน</t>
  </si>
  <si>
    <t>ค่าเช่าสถานที่และโสตทัศนอุปกรณ์ (25 คน x 4 ครั้ง)</t>
  </si>
  <si>
    <t>จัดทำคู่มือการใช้งานระบบสารสนเทศการประเมินความปลอดภัยด้านสารเคมีภายในโรงงานอุตสาหกรรม จำนวน 800 เล่ม และคู่มือระบบสารสนเทศข้อมูลสารเคมีในโรงงานอุตสาหกรรม จำนวน 200 เล่ม</t>
  </si>
  <si>
    <t>จัดพิมพ์เอกสารคู่มือ</t>
  </si>
  <si>
    <t>กิจกรรมย่อยที่ 3</t>
  </si>
  <si>
    <t>พัฒนาศักยภาพเจ้าหน้าที่ของกระทรวงอุตสาหกรรม ให้สามารถปฏิบัติงานเพื่อให้คำแนะนำและสอนงาน (Supervise and Coaching) แก่โรงงานตามหลักเกณฑ์หรือมาตรฐานความปลอดภัยสากลเบื้องต้น</t>
  </si>
  <si>
    <t>ค่าเช่ารถตู้ รวมน้ำมัน (20 โรงงาน x 2 วัน x 2 ครั้ง)</t>
  </si>
  <si>
    <t>ค่าเบี้ยเลี้ยงเจ้าหน้าที่ (20 โรงงาน X 2 วัน X 2 คน x 2 ครั้ง)</t>
  </si>
  <si>
    <t>ค่าเครื่องบินเจ้าหน้าที่ (10 โรงงาน X 2 คน x 2 ครั้ง)</t>
  </si>
  <si>
    <t>ค่าที่พักเจ้าหน้าที่ (20 โรงงาน x  2 คน x 1 คืน x 2 ครั้ง)</t>
  </si>
  <si>
    <t>ค่าเอกสารประกอบการตรวจ ( 20 โรงงาน x 1 ชุด)</t>
  </si>
  <si>
    <t xml:space="preserve">พัฒนาศักยภาพเจ้าหน้าที่ของกระทรวงอุตสาหกรรม ให้สามารถปฏิบัติงานเพื่อประเมินผลและทวนสอบ (Evaluate and Verified) โรงงานตามหลักเกณฑ์หรือมาตรฐานความปลอดภัยสากลเบื้องต้น </t>
  </si>
  <si>
    <t>ค่าเช่ารถตู้ รวมน้ำมัน (20 โรงงาน X 1 วัน  x 1 ครั้ง)</t>
  </si>
  <si>
    <t>ค่าเบี้ยเลี้ยงเจ้าหน้าที่ (20 โรงงาน X 1 วัน X 2 คน  x 1 ครั้ง)</t>
  </si>
  <si>
    <t>ค่าเครื่องบินเจ้าหน้าที่ (10 โรงงาน X 2 คน  x 1 ครั้ง)</t>
  </si>
  <si>
    <t>การระดมความคิดเห็นด้านความปลอดภัย</t>
  </si>
  <si>
    <t>ค่าอาหารกลางวัน (35 คน x 6 ครั้ง)</t>
  </si>
  <si>
    <t>ค่าอาหารว่าง (35 คน x 6 ครั้ง x 2 มื้อ)</t>
  </si>
  <si>
    <t>ค่าเอกสาร (35 คน x 6 ครั้ง)</t>
  </si>
  <si>
    <t>ค่าน้ำมัน (6 ครั้ง)</t>
  </si>
  <si>
    <t>ค่าวิทยากร (7 ชม. X 1 วัน x 6 ครั้ง)</t>
  </si>
  <si>
    <t>ค่าเครื่องบินเจ้าหน้าที่ (10 คน x 4 ครั้ง)</t>
  </si>
  <si>
    <t>ค่าเบี้ยเลี้ยงเจ้าหน้าที่ (12 คน x 2 วัน x 4 ครั้ง)</t>
  </si>
  <si>
    <t>ค่าที่พักเจ้าหน้าที่ (12 คน x 1 คืน x 6 ครั้ง)</t>
  </si>
  <si>
    <t>ค่าที่แท๊กซี่ (12 คน x 6 ครั้ง)</t>
  </si>
  <si>
    <t>ค่าเบ็ดเตล็ด</t>
  </si>
  <si>
    <t xml:space="preserve">การแลกเปลี่ยนเรียนรู้ประสบการณ์ระหว่างหน่วยงานที่เกี่ยวข้องกับความปลอดภัย </t>
  </si>
  <si>
    <t>ค่าอาหารกลางวัน (25 คน x 1 วัน x 2 ครั้ง)</t>
  </si>
  <si>
    <t>ค่าอาหารกลางวันและอาหารเย็น (25 คน x 1 วัน x 2 ครั้ง)</t>
  </si>
  <si>
    <t>ค่าอาหารว่าง (25 คน x 2 มื้อ x 2 วัน x 2 ครั้ง)</t>
  </si>
  <si>
    <t>ค่าเอกสาร (25 คน x 2 ครั้ง)</t>
  </si>
  <si>
    <t>ค่าน้ำมัน (4 คัน x 2 ครั้ง)</t>
  </si>
  <si>
    <t>ค่าวิทยากร (7 ชม. X 2 วัน x 2 ครั้ง)</t>
  </si>
  <si>
    <t>ค่าที่พักผู้เข้าร่วม (25 คน x  1 คืน x 2 ครั้ง)</t>
  </si>
  <si>
    <t>ค่าของที่ระลึก (ครั้งละ 2 ชุด x 2 ครั้ง)</t>
  </si>
  <si>
    <t>ค่าที่แท๊กซี่ (25 คน x 2 ครั้ง)</t>
  </si>
  <si>
    <t>(1.3.3) กิจกรรมที่ 3 การส่งเสริมความปลอดภัยระบบทำความเย็นที่ใช้แอมโมเนียเป็นสารทำความเย็น</t>
  </si>
  <si>
    <t>จัดทำหลักเกณฑ์และคู่มือ</t>
  </si>
  <si>
    <t>ค่าใช้จ่ายในการจัดประชุมจัดทำหลักเกณฑ์และคู่มือ ( ครั้งละ 1 วัน)</t>
  </si>
  <si>
    <t xml:space="preserve">    - ค่าเบี้ยประชุมผู้เชี่ยวชาญ (1,200 บาทต่อคน จำนวน 10 คน)</t>
  </si>
  <si>
    <t xml:space="preserve">    - ค่าเช่าสถานที่</t>
  </si>
  <si>
    <t xml:space="preserve">    - ค่าเอกสารประกอบการประชุม</t>
  </si>
  <si>
    <t>ค่าใช้จ่ายในการจัดซื้อมาตรฐานเกี่ยวกับระบบทำความเย็นที่ใช้แอมโมเนียเป็นสารทำความเย็น</t>
  </si>
  <si>
    <t xml:space="preserve">ค่าใช้จ่ายในการเช่าเครื่องคอมพิวเตอร์ หน่วยความจำ และโปรแกรมในการจำลอง </t>
  </si>
  <si>
    <t>การทำงานของระบบทำความเย็นที่ใช้แอมโมเนียเป็นสารทำความเย็น ที่สมบูรณ์</t>
  </si>
  <si>
    <t>(จำนวน 1 เครื่อง ระยะเวลา 2 เดือน เดือนละ 25,000 บาทต่อเครื่อง)</t>
  </si>
  <si>
    <t>ค่าใช้จ่ายจัดทำคู่มือ</t>
  </si>
  <si>
    <t xml:space="preserve"> จัดงานฝึกอบรมโดยมีบุคลากรของกรมโรงงานอุตสาหกรรมเข้าร่วมไม่น้อยกว่า 80 คน-วัน (จำนวนคน 40 คน ระยะเวลาครั้งละ 2 วัน)</t>
  </si>
  <si>
    <t>ค่าวิทยากร</t>
  </si>
  <si>
    <t>ค่าอาหาร อาหารว่าง (1 มื้อหลัก, 2 เบรก )</t>
  </si>
  <si>
    <t xml:space="preserve"> ค่าอุปกรณ์ เอกสาร</t>
  </si>
  <si>
    <t>ค่าเดินทาง (ค่าเช่ารถตู้ พร้อมน้ำมันเชื้อเพลิง จำนวน 5 คันต่อครั้ง ครั้งละ 2 วัน)</t>
  </si>
  <si>
    <t>Roll Up</t>
  </si>
  <si>
    <t>เอกสารแผ่นพับ ประชาสัมพันธ์</t>
  </si>
  <si>
    <t>จัดให้ผู้เข้าอบรมเข้าศึกษาระบบทำความเย็นที่ใช้แอมโมเนียเป็นสารทำความเย็น</t>
  </si>
  <si>
    <t xml:space="preserve"> ที่เป็นระบบสมบูรณ์ในรูปแบบต่างๆ กับโรงงานต้นแบบ  ไม่น้อยกว่า 3 โรงงาน </t>
  </si>
  <si>
    <t>ค่าที่พัก (40 คนต่อครั้ง คนละ 2,000 บาท รวมทั้งหมด 3 ครั้ง)</t>
  </si>
  <si>
    <t>ค่าอาหาร</t>
  </si>
  <si>
    <t xml:space="preserve">จัดงานฝึกอบรมในเขตพื้นที่ กทม. และปริมณฑล โดยมีผู้ที่ปฏิบัติงานเกี่ยวข้องกับระบบทำความเย็นที่ใช้แอมโมเนีย </t>
  </si>
  <si>
    <t>เป็นสารทำความเย็นเข้าร่วมไม่น้อยกว่า 200 คน-วัน (จำนวนคนทั้งหมด 100 คน ระยะเวลาครั้งละ 2 วัน) ร่วมกับกรมโรงงานอุตสาหกรรม</t>
  </si>
  <si>
    <t xml:space="preserve">     ค่าเช่าห้องประชุม (ทั้งหมด 4 วัน)</t>
  </si>
  <si>
    <t xml:space="preserve">     ค่าวิทยากร (จัดอบรม 2 ครั้ง ผู้เข้าร่วมอบรมครั้งละ 50 คน</t>
  </si>
  <si>
    <t xml:space="preserve">     ค่าอาหาร อาหารว่าง (1 มื้อหลัก, 2 เบรก )</t>
  </si>
  <si>
    <t xml:space="preserve">     ค่าอุปกรณ์ เอกสาร</t>
  </si>
  <si>
    <t xml:space="preserve">     ค่าเดินทาง (ค่าเช่ารถตู้ พร้อมน้ำมันเชื้อเพลิง จำนวน 2 คันต่อครั้ง ครั้งละ 2 วัน)</t>
  </si>
  <si>
    <t xml:space="preserve">     Roll Up</t>
  </si>
  <si>
    <t xml:space="preserve">     เอกสารแผ่นพับ ประชาสัมพันธ์</t>
  </si>
  <si>
    <t>การจัดเตรียมเอกสารรายงาน</t>
  </si>
  <si>
    <t xml:space="preserve">     รายงานขั้นต้น</t>
  </si>
  <si>
    <t xml:space="preserve">     รายงานความก้าวหน้าฉบับกลาง</t>
  </si>
  <si>
    <t xml:space="preserve">     ร่างรายงานฉบับสมบูรณ์</t>
  </si>
  <si>
    <t xml:space="preserve">     รายงานฉบับสมบูรณ์</t>
  </si>
  <si>
    <t xml:space="preserve">     รายงานส่งผู้บริหาร (ภาษาไทย + อังกฤษ)</t>
  </si>
  <si>
    <t>(1.3.4) กิจกรรมที่ 4 การส่งเสริมการจัดการระบบความปลอดภัยในโรงงาน</t>
  </si>
  <si>
    <t xml:space="preserve"> ค่าใช้จ่ายในการอบรม (4 ครั้ง)</t>
  </si>
  <si>
    <t xml:space="preserve"> - ค่าอาหารกลางวัน อาหารว่างและเครื่องดื่ม</t>
  </si>
  <si>
    <t xml:space="preserve"> - ค่าวิทยากร</t>
  </si>
  <si>
    <t>ชั่วโมง</t>
  </si>
  <si>
    <t xml:space="preserve"> - ค่าสถานที่จัดอบรม</t>
  </si>
  <si>
    <t xml:space="preserve"> - ค่าเช่าอุปกรณ์ เช่น คอมพิวเตอร์ แอลซีดี</t>
  </si>
  <si>
    <t xml:space="preserve"> - ค่าเอกสารประกอบการอบรม</t>
  </si>
  <si>
    <t xml:space="preserve"> - ค่าเช่ารถตู้</t>
  </si>
  <si>
    <t xml:space="preserve"> - ค่าน้ำมันเชื้อเพลิง</t>
  </si>
  <si>
    <t xml:space="preserve"> - ค่าเอกสารใบสมัครเข้าร่วมโครงการ </t>
  </si>
  <si>
    <t>ค่าใช้จ่ายในการอบรมผู้เข้าร่วมโครงการ</t>
  </si>
  <si>
    <t>ค่าเดินทางเข้าให้คำปรึกษา (100 โรงงานๆละ 3 ครั้ง)</t>
  </si>
  <si>
    <t xml:space="preserve"> - ค่าตั๋วเครื่องบิน</t>
  </si>
  <si>
    <t>เที่ยว</t>
  </si>
  <si>
    <t xml:space="preserve">ค่าเดินทางตรวจประเมินโรงงาน 100 โรงงาน </t>
  </si>
  <si>
    <t>ค่าจัดประชุมสัมมนา (2 ครั้ง รวม 300 คน)</t>
  </si>
  <si>
    <t xml:space="preserve"> - ค่าสถานที่จัดประชุมสัมมนา</t>
  </si>
  <si>
    <t xml:space="preserve"> - ค่าเอกสารการสัมมนา</t>
  </si>
  <si>
    <t xml:space="preserve">ค่าจัดทำสื่ออิเล็กทรอนิกส์ </t>
  </si>
  <si>
    <t>เรื่อง</t>
  </si>
  <si>
    <t xml:space="preserve"> - ค่าจัดทำรายงานฉบับที่ 1</t>
  </si>
  <si>
    <t xml:space="preserve"> - ค่าจัดทำรายงานฉบับที่ 2</t>
  </si>
  <si>
    <t xml:space="preserve"> - ค่าจัดทำรายงานฉบับที่ 3</t>
  </si>
  <si>
    <t xml:space="preserve"> - ค่าจัดทำรายงานฉบับสมบูรณ์</t>
  </si>
  <si>
    <t xml:space="preserve"> - ค่าจัดทำรายงานสรุปสำหรับผู้บริหาร</t>
  </si>
  <si>
    <t>ค่าบริหารโครงการ</t>
  </si>
  <si>
    <t>(1.3.5) กิจกรรมที่ 5 การจัดทำระบบประเมินความเสี่ยงและประเมินอายุภาชนะรับแรงดัน ระยะที่ 2</t>
  </si>
  <si>
    <t>ศึกษาและจัดทำหลักเกณฑ์และคู่มือ</t>
  </si>
  <si>
    <t xml:space="preserve"> - ค่าเบี้ยประชุมผู้เชี่ยวชาญ (จำนวน 10 คนๆ ละ 1200 บาท จำนวน 6 ครั้ง)</t>
  </si>
  <si>
    <t xml:space="preserve"> - ค่าเช่าสถานที่ (ครั้งละ 2,000 บาท 6 ครั้ง)</t>
  </si>
  <si>
    <t xml:space="preserve"> - ค่าเอกสารประกอบการประชุม (70 บาท จำนวน 60 ขุด)</t>
  </si>
  <si>
    <t xml:space="preserve">   ค่าใช้จ่ายในการจัดซื้อมาตรฐานการประเมินความเสี่ยงและการประเมินอายุภาชนะรับแรงดัน</t>
  </si>
  <si>
    <t>งาน</t>
  </si>
  <si>
    <t xml:space="preserve">   ค่าใช้จ่ายในการจัดทำคู่มือ (500 ชุด ๆ ละ 500 บาท)</t>
  </si>
  <si>
    <t>บาท</t>
  </si>
  <si>
    <t>ฝึกอบรมบุคลากรไม่น้อยกว่า 240 คน-วัน</t>
  </si>
  <si>
    <t xml:space="preserve"> - ค่าอาหารกลางวัน อาหารว่างและเครื่องดื่ม (600 บาท 240 คน)</t>
  </si>
  <si>
    <t xml:space="preserve"> - ค่าอุปกรณ์ เอกสาร (200 บาท 240 ชุด)</t>
  </si>
  <si>
    <t xml:space="preserve"> - Roll Up จำนวน 10 ชุด ๆ ละ 2000 บาท</t>
  </si>
  <si>
    <t xml:space="preserve"> - ค่าเอกสารแผ่นพับ ประชาสัมพันธ์ (4 ชุด ๆ ละ 2750 บาท)</t>
  </si>
  <si>
    <t>การดำเนินการประเมินความเสี่ยงและประเมินอายุภาชนะรับแรงดันกับโรงงานต้นแบบ จำนวนภาชนะรับแรงดันไม่น้อยกว่า 40 เครื่อง ไม่น้อยกว่า 20 โรงงาน</t>
  </si>
  <si>
    <t xml:space="preserve"> - ค่าเดินทาง (ค่าเช่ารถตู้ พร้อมน้ำมันเชื้อเพลิง 2500 บาท 40 วัน)</t>
  </si>
  <si>
    <t xml:space="preserve"> - ค่าใช้จ่ายในการตรวจประเมินความเสี่ยงของภาชนะรับแรงดัน (30000 บาท 40 เครื่อง)</t>
  </si>
  <si>
    <t xml:space="preserve"> - ค่าใช้จ่ายในการตรวจประเมินอายุภาชนะรับแรงดัน 70,000 บาท 40 เครื่อง)</t>
  </si>
  <si>
    <t xml:space="preserve">   (1.3.4) ค่าจัดทำเอกสารรายงาน</t>
  </si>
  <si>
    <t>(1.3.6) กิจกรรมที่ 6 การส่งเสริมและพัฒนาความปลอดภัยระบบไฟฟ้าในโรงงานอุตสาหกรรมสู่ “Electrical Safety Thailand” (“อุตสาหกรรมปลอดภัย เพราะใส่ใจระบบไฟฟ้า”)</t>
  </si>
  <si>
    <t>กิจกรรมย่อยที่ 1</t>
  </si>
  <si>
    <t>ส่งเสริม พัฒนา ปรับปรุงความปลอดภัย
สภาวะการทำงานและระบบไฟฟ้าในโรงงาน</t>
  </si>
  <si>
    <t>จัดทำหลักเกณฑ์การคัดเลือก และค่าจัดทำเอกสารที่เกี่ยวข้อง พร้อมค่าจัดส่งหนังสือเชิญ</t>
  </si>
  <si>
    <t xml:space="preserve">     - ค่าจัดทำหลักเกณฑ์การสมัครคัดเลือกผู้ประกอบกิจการโรงงาน และค่าจัดทำเอกสารที่เกี่ยวข้องพร้อมส่งหนังสือเชิญ</t>
  </si>
  <si>
    <t>จัดฝึกอบรมแนะนำวิธีการปฏิบัติ และค่าเดินทางเข้าติดตามผล 100 โรงงาน (2 ครั้ง)</t>
  </si>
  <si>
    <t>การฝึกอบรมแนะนำวิธีการปฏิบัติ</t>
  </si>
  <si>
    <t xml:space="preserve">     - ค่าเอกสาร (100 โรงงาน x 2 คน) + คณะทำงานและผู้เข้าร่วมประชุมรวม 50 คน</t>
  </si>
  <si>
    <t xml:space="preserve">     - ค่าอาหาร (100 โรงงาน x 2 คน) + คณะทำงานและผู้เข้าร่วมประชุมรวม 50 คน</t>
  </si>
  <si>
    <t xml:space="preserve">     - ค่าอาหารว่าง (2 ชุด x 45 คน) (คณะทำงานและผู้เข้าร่วมประชุมรวม 45 คน)</t>
  </si>
  <si>
    <t xml:space="preserve">     - ค่าวิทยากร</t>
  </si>
  <si>
    <t xml:space="preserve">     - ค่าสถานที่ (ขนาด 500 ตรม. X 170 บาท) </t>
  </si>
  <si>
    <t xml:space="preserve">     - ค่าเบี้ยเลี้ยงเจ้าหน้าที่ จำนวน 5 คน(ลงทะเบียน ฯลฯ)</t>
  </si>
  <si>
    <t xml:space="preserve">     -  ค่าใช้จ่ายอื่นๆ</t>
  </si>
  <si>
    <t>การเดินทางเข้าติดตามผล 20 โรงงาน 
(2 ครั้ง)</t>
  </si>
  <si>
    <t xml:space="preserve">    - ค่าเช่ารถตู้ (400 วัน)</t>
  </si>
  <si>
    <t xml:space="preserve">    - ค่าที่พัก (4 คน 200 คืน)</t>
  </si>
  <si>
    <t xml:space="preserve">    - ค่าเบี้ยเลี้ยง (4 คน 80 วัน)</t>
  </si>
  <si>
    <t xml:space="preserve">    - ค่าใช้จ่ายอื่นๆ</t>
  </si>
  <si>
    <t>สัมมนา จำนวน 1 วัน</t>
  </si>
  <si>
    <t xml:space="preserve">    - ค่าอาหาร (คณะทำงานและผู้เข้าร่วมประชุมรวม 300 คน)</t>
  </si>
  <si>
    <t xml:space="preserve">    - ค่าสถานที่ 
(ประมาณ 600 ตรม. X 170 บาท/ตรม.)</t>
  </si>
  <si>
    <t xml:space="preserve">    - ค่าอาหารว่าง (2 ชุด x 300 คน)</t>
  </si>
  <si>
    <t xml:space="preserve">    - ค่าวิทยากรผู้เชี่ยวชาญ</t>
  </si>
  <si>
    <t xml:space="preserve">    - ค่าเอกสาร</t>
  </si>
  <si>
    <t xml:space="preserve">    - ค่าเบี้ยเลี้ยงเจ้าหน้าที่ จำนวน 5 คน(ลงทะเบียน ฯลฯ)</t>
  </si>
  <si>
    <t>จัดทำชุดเผยแพร่องค์ความรู้ 
จำนวน 4 ชุด</t>
  </si>
  <si>
    <t xml:space="preserve">    - ค่าจัดทำคู่มือ ขนาด A5 จำนวน 500 เล่ม (ไม่น้อยกว่า 50 แผ่น)</t>
  </si>
  <si>
    <t xml:space="preserve">    - จัดทำข้อเสนอการพัฒนาความปลอดภัย</t>
  </si>
  <si>
    <t xml:space="preserve">    - ค่าจัดทำโปสเตอร์ จำนวน 200 แผ่น</t>
  </si>
  <si>
    <t xml:space="preserve">    - ค่าจัดทำ Roll Up จำนวน 5 ชุด</t>
  </si>
  <si>
    <t xml:space="preserve">    - ค่าจัดทำรายงานฉบับที่ 1</t>
  </si>
  <si>
    <t xml:space="preserve">    - ค่าจัดทำรายงานฉบับที่ 2</t>
  </si>
  <si>
    <t xml:space="preserve">    - ค่าจัดทำรายงานฉบับที่ 3</t>
  </si>
  <si>
    <t xml:space="preserve">    - ค่าจัดทำรายงานฉบับสมบูรณ์</t>
  </si>
  <si>
    <t xml:space="preserve">    - ค่าจัดทำบทสรุปสำหรับผู้บริหาร</t>
  </si>
  <si>
    <t>กิจกรรมย่อยที่ 2</t>
  </si>
  <si>
    <t>ฝึกอบรม เรื่อง “สภาวะการทำงานและ
ระบบไฟฟ้าที่ปลอดภัยในทุกฤดู”</t>
  </si>
  <si>
    <t xml:space="preserve">    - ค่าอาหาร (คณะทำงานและผู้เข้าร่วมประชุม) (1,000 โรงงาน x 1 คน)</t>
  </si>
  <si>
    <t xml:space="preserve">    - ค่าสถานที่ 
(ประมาณ 2,000 ตรม. X 170 บาท/ตรม.)</t>
  </si>
  <si>
    <t xml:space="preserve">    - ค่าอาหารว่าง (2 ชุด x 1000 คน)</t>
  </si>
  <si>
    <t>ฝึกอบรม เรื่อง “ความปลอดภัยระบบไฟฟ้า
ในบริเวณอันตราย”</t>
  </si>
  <si>
    <t xml:space="preserve">    - ค่าอาหาร (คณะทำงานและผู้เข้าร่วมประชุม) (500 โรงงาน x 1 คน)</t>
  </si>
  <si>
    <t xml:space="preserve">    - ค่าสถานที่ 
(ประมาณ 1,000 ตรม. X 170 บาท/ตรม.)</t>
  </si>
  <si>
    <t xml:space="preserve">    - ค่าอาหารว่าง (2 ชุด x 5000 คน)</t>
  </si>
  <si>
    <t>กิจกรรมย่อยที่ 4</t>
  </si>
  <si>
    <t>ประชุมวิชาการ  โครงการส่งเสริมและพัฒนาความปลอดภัยระบบไฟฟ้าในโรงงานอุตสาหกรรม สู่ "Electrical Safety Thailand" ("อุตสาหกรรมปลอดภัยเพราะใส่ใจระบบบไฟฟ้า")</t>
  </si>
  <si>
    <t xml:space="preserve">    - ค่าอาหาร (คณะทำงานและผู้เข้าร่วมประชุม) (1,000 คน)</t>
  </si>
  <si>
    <t>(1.3.7) กิจกรรมที่ 7 การส่งเสริมและพัฒนาความปลอดภัยในสภาวะการทำงาน</t>
  </si>
  <si>
    <t>ค่าจัดทำแนวทางและแผนการดำเนินงานฯ</t>
  </si>
  <si>
    <t>ค่าศึกษาข้อตกลงระหว่างประเทศฯ</t>
  </si>
  <si>
    <t>ค่าศึกษาและรวบรวมข้อมูลหลักเกณฑ์ฯ</t>
  </si>
  <si>
    <t>ค่าจัดทำคู่มือหลักเกณฑ์ เงื่อนไข และวิธีปฏิบัติด้านความปลอดภัยฯ, แบบฟอร์มฯ และจัดพิมพ์คู่มือ พร้อมDVD 300 ชุด</t>
  </si>
  <si>
    <t xml:space="preserve">   - ค่าจัดทำคู่มือหลักเกณฑ์ เงื่อนไข และวิธีปฏิบัติด้านความปลอดภัยฯ, แบบฟอร์มฯ</t>
  </si>
  <si>
    <t xml:space="preserve">   - ค่าจัดพิมพ์คู่มือฯ </t>
  </si>
  <si>
    <t xml:space="preserve">   - ค่าจัดทำ DVD </t>
  </si>
  <si>
    <t>ค่าจัดทำคู่มือแนวทางการพิจารณาอนุญาตฯ,แบบฟอร์มฯ และจัดพิมพ์คู่มือ พร้อมDVD 300 ชุด</t>
  </si>
  <si>
    <t xml:space="preserve">   - ค่าจัดทำคู่มือแนวทางการพิจารณาอนุญาตฯ, แบบฟอร์มฯ </t>
  </si>
  <si>
    <t>ค่าสำรวจและรวบรวมข้อมูลจากโรงงานอุตสาหกรรมชีวภาพฯ จำนวนไม่น้อยกว่า 40 โรงงาน</t>
  </si>
  <si>
    <t xml:space="preserve">   - ค่าเช่ารถตู้พร้อมค่าน้ำมัน (2วัน/โรงงาน x 40 โรงงาน x 1คัน/วัน)</t>
  </si>
  <si>
    <t>คัน</t>
  </si>
  <si>
    <t xml:space="preserve">   - ค่าเช่าที่พัก (1คน/ห้อง x 5 ห้อง/คืน x 1 คืน/โรงงาน x 40 โรงงาน)</t>
  </si>
  <si>
    <t xml:space="preserve">   - ค่าเบี้ยเลี้ยงเจ้าหน้าที่ (2 คน/วัน x 2 วัน/โรงงาน x 40 โรงงาน)</t>
  </si>
  <si>
    <t xml:space="preserve">   - ค่าเบี้ยเลี้ยงผู้เชี่ยวชาญ (3 คน/วัน x 2 วัน/โรงงาน x 40 โรงงาน)</t>
  </si>
  <si>
    <t xml:space="preserve">   - ค่าเอกสารสำรวจโรงงาน </t>
  </si>
  <si>
    <t xml:space="preserve">   - ค่าใช้จ่ายอื่นๆ</t>
  </si>
  <si>
    <t>ค่าถ่ายทอดแนวปฏิบัติด้านความปลอดภัยฯ จำนวนผู้เข้าร่วมไม่น้อยกว่า 300 คน</t>
  </si>
  <si>
    <t xml:space="preserve">   - ค่าเช่าสถานที่เอกชน (ประมาณ 200 ตร.ม.)</t>
  </si>
  <si>
    <t xml:space="preserve">   - ค่าสมนาคุณวิทยากร (2 คน/ชม. x 7 ชม./วัน x 1 วัน)</t>
  </si>
  <si>
    <t xml:space="preserve">   - ค่าตอบแทนเจ้าหน้าที่รับลงทะเบียน,ดำเนินการประชุม </t>
  </si>
  <si>
    <t xml:space="preserve">   - ค่าอาหาร (300คนx 1 วัน)</t>
  </si>
  <si>
    <t xml:space="preserve">   - ค่าอาหารว่างและเครื่องดื่ม (300คนx 1 วัน x 2 ชุด/วัน)</t>
  </si>
  <si>
    <t>คน-ชุด</t>
  </si>
  <si>
    <t xml:space="preserve">   - ค่าเช่ารถตู้+ค่าน้ำมัน (1 วัน  x 1 คัน/วัน)</t>
  </si>
  <si>
    <t xml:space="preserve">   - ค่าเอกสาร (300 คน x 1 วัน x 1 ชุด/วัน)</t>
  </si>
  <si>
    <t xml:space="preserve"> ค่าถ่ายทอดแนวทางการกำกับดูแลอุตสาหกรรมชีวภาพฯ จำนวนผู้เข้าร่วมไม่น้อยกว่า 100 คน</t>
  </si>
  <si>
    <t xml:space="preserve">   - ค่าเช่าสถานที่เอกชน (ประมาณ 100 ตร.ม.)</t>
  </si>
  <si>
    <t xml:space="preserve">   - ค่าอาหาร (100คนx 1 วัน)</t>
  </si>
  <si>
    <t xml:space="preserve">   - ค่าอาหารว่างและเครื่องดื่ม (100คนx 1 วัน x 2 ชุด/วัน)</t>
  </si>
  <si>
    <t xml:space="preserve">   - ค่าเอกสาร (100 คน x 1 วัน x 1 ชุด/วัน)</t>
  </si>
  <si>
    <t>ค่าจัดประชุมสรุปผลการดำเนินงานฯ จำนวนผู้เข้าร่วมไม่น้อยกว่า 300 คน</t>
  </si>
  <si>
    <t xml:space="preserve">   - ค่าเช่าสถานที่เอกชน (ประมาณ 300 ตร.ม.)</t>
  </si>
  <si>
    <t xml:space="preserve"> ค่าจัดทำรายงาน</t>
  </si>
  <si>
    <t xml:space="preserve">   - ค่าจัดทำรายงานฉบับที่ 1</t>
  </si>
  <si>
    <t xml:space="preserve">   - ค่าจัดทำรายงานฉบับที่ 2</t>
  </si>
  <si>
    <t xml:space="preserve">   - ค่าจัดทำรายงานฉบับที่ 3</t>
  </si>
  <si>
    <t xml:space="preserve">   - ค่าจัดทำรายงานฉบับสมบูรณ์</t>
  </si>
  <si>
    <t xml:space="preserve">   - ค่าจัดทำรายงานสรุปสำหรับผู้บริหาร</t>
  </si>
  <si>
    <t xml:space="preserve"> - ค่าบริการวิชาการ</t>
  </si>
  <si>
    <t xml:space="preserve"> - ค่าตอบแทนที่ปรึกษา(หัวหน้า/ผู้จัดการ) (ป.โท วิศวกรรม ป.10 ปี จำนวน 7 คน x 8 เดือน x 90,000 บาท)</t>
  </si>
  <si>
    <t xml:space="preserve"> - ค่าตอบแทนที่ปรึกษา(ด้านเทคโนโลยีชีวภาพ๗ (ป.โท วิศวกรรม ป.10 ปี จำนวน 2 คน x 7 เดือน x 65,000 บาท)</t>
  </si>
  <si>
    <t xml:space="preserve"> - ค่าตอบแทนที่ปรึกษา(ด้านความปลอดภัยอุตสาหกรรม)(ป.ตรี วิศวกรรม ป.12 ปี จำนวน 3 คน x 7 เดือน x 60,000 บาท)</t>
  </si>
  <si>
    <t xml:space="preserve"> - ค่าตอบแทนที่ปรึกษา(ด้านความปลอดภัยอุตสาหกรรม) (ป.โท วิศวกรรม ป.10 ปี จำนวน 5 คน x 7 เดือน x 65,000 บาท)</t>
  </si>
  <si>
    <t xml:space="preserve">             ค่าตอบแทนที่ปรึกษา(ด้านอัคคีภัย)(ป.ตรี วิศวกรรม ป.5 ปี จำนวน 4 คน x 8 เดือน x 60,000 บาท)</t>
  </si>
  <si>
    <t xml:space="preserve">             ค่าตอบแทนที่ปรึกษา(ด้านบริหารความปลอดภัย) (ป.โท วิศวกรรม ป.10 ปี จำนวน 1 คน x 7 เดือน x 60,000 บาท)</t>
  </si>
  <si>
    <t xml:space="preserve">             ค่าตอบแทนที่ปรึกษา(ด้านอัคคีภัย)(ป.โท วิศวกรรม ป.10 ปี จำนวน 1 คน x 8 เดือน x 65,000 บาท)</t>
  </si>
  <si>
    <t xml:space="preserve">             ค่าตอบแทนที่ปรึกษา(ด้านสารเคมี) (ป.ตรี วิศวกรรม ป.5 ปี จำนวน 5 คน x 8 เดือน x 60,000 บาท)</t>
  </si>
  <si>
    <t xml:space="preserve">             ค่าตอบแทนที่ปรึกษา(ด้านสารเคมี) (ป.โท วิศวกรรม ป.6 ปี จำนวน 8 คน x 8 เดือน x 65,000 บาท)</t>
  </si>
  <si>
    <t xml:space="preserve">             ค่าตอบแทนที่ปรึกษา(ด้านไฟฟ้า) (ป.ตรี วิศวกรรม ป.5 ปี จำนวน 6 คน x 7 เดือน x 60,000 บาท)</t>
  </si>
  <si>
    <t>(1.3) ค่าใช้จ่ายในการดำเนินการ</t>
  </si>
  <si>
    <t>ตารางสรุปรายละเอียดค่าใช้จ่าย
โครงการส่งเสริมเทคโนโลยีความปลอดภัยแบบองค์รวมเพื่อเป็น Smart Safety Factory</t>
  </si>
  <si>
    <t xml:space="preserve"> - ผู้จัดการโครงการ (วุฒิไม่ต่ำกว่าปริญญาโท ในสาขาวิทยาศาสตร์ วิศวกรรมศาสตร์ สิ่งแวดล้อม หรือสาขาอื่น ๆ ที่เกี่ยวข้อง)</t>
  </si>
  <si>
    <t xml:space="preserve">(1.3.1) ศึกษาแนวปฏิบัติเกี่ยวกับการบริหารจัดการวัตถุอันตรายของผู้ประกอบการที่เข้าข่ายต้องมีบุคลากรเฉพาะฯ </t>
  </si>
  <si>
    <t>(1.3.2) ตรวจสอบและให้คำแนะนำเกี่ยวกับการจัดเก็บวัตถุอันตรายในสถานที่จัดเก็บวัตถุอันตรายที่เข้าข่ายต้องมีบุคลากรเฉพาะฯ ไม่น้อยกว่า 500 แห่ง</t>
  </si>
  <si>
    <t xml:space="preserve"> - ค่าเบี้ยเลี้ยง (จำนวน 4 คน x 240 บาท/วัน x 120 วัน)</t>
  </si>
  <si>
    <t xml:space="preserve"> - ค่าที่พัก (1,000 บาท x 4 คน x 60 คืน)</t>
  </si>
  <si>
    <t xml:space="preserve"> -  ค่าพาหนะ (รวมค่าน้ำมัน) (2 คัน x 120 วัน x 2,500 บาท)</t>
  </si>
  <si>
    <t>(1.3.3) ค่าจัดทำรายละเอียดสถานที่เก็บรักษาวัตถุอันตราย พร้อมแผนที่ระบุพิกัดภูมิศาสตร์จุดจัดเก็บวัตถุอันตรายด้วยระบบดิจิตัล</t>
  </si>
  <si>
    <t>(1.3.4) วิเคราะห์ ประเมินผล การตรวจสอบที่เก็บรักษาวัตถุอันตรายเพื่อจัดกลุ่ม โดยแบ่งเป็นประเภทดีมาก ดี พอใช้</t>
  </si>
  <si>
    <t>(1.3.5) จัดทำคู่มือการตรวจสถานที่จัดเก็บวัตถุอันตรายสำหรับเจ้าหน้าที่ในการเข้าตรวจสอบสถานที่เก็บวัตถุอันตราย ไม่น้อยกว่า 300 เล่ม (300 เล่ม x 100 บาท)</t>
  </si>
  <si>
    <t>(1.3.6) จัดอบรมคู่มือการตรวจสถานที่เก็บวัตถุอันตราย สำหรับเจ้าหน้าที่ไม่น้อยกว่า 50 คน</t>
  </si>
  <si>
    <t xml:space="preserve">- ค่าวิทยากร (600 บาท x 6 ช.ม. X 1 คน) </t>
  </si>
  <si>
    <t>- ค่าอาหารกลางวัน 1 มื้อ</t>
  </si>
  <si>
    <t>- ค่าอาหารว่างและเครื่องดื่ม 2 มื้อ</t>
  </si>
  <si>
    <t>- ค่าจัดทำเอกสารอบรม (70 บาท/ชุด x 50 คน)</t>
  </si>
  <si>
    <t xml:space="preserve">(1.3.7) จัดอบรมการจัดเก็บวัตถุอันตราย รวมทั้งการทำรายงานความปลอดภัยฯ ให้แก่สถานประกอบการวัตถุอันตราย และบุคลากรเฉพาะฯ 2 ครั้ง ๆ ละไม่น้อยกว่า 500 คน </t>
  </si>
  <si>
    <t>- ค่าอาหาร อาหารว่างและเครื่องดื่ม (600 บาท x 500 คน x 1 วัน x 2 ครั้ง)</t>
  </si>
  <si>
    <t>- ค่าจัดทำเอกสารอบรม (70 บาท/ชุด x 1,000 ชุด)</t>
  </si>
  <si>
    <t>(1.3.8) จัดทำสื่อการเรียนรู้ในรูปแบบของสื่ออิเล็กทรอนิกส์ (E-Learning) 2 เรื่อง</t>
  </si>
  <si>
    <t>(1.3.9) ค่าจัดทำรายงาน</t>
  </si>
  <si>
    <t>- รายงานฉบับที่ 1</t>
  </si>
  <si>
    <t>- รายงานฉบับที่ 2</t>
  </si>
  <si>
    <t>- รายงานฉบับที่ 3</t>
  </si>
  <si>
    <t>- รายงานฉบับสมบูรณ์ และบทสรุปผู้บริหาร</t>
  </si>
  <si>
    <t xml:space="preserve">(1.4.1) ตรวจกำกับสถานประกอบการเกี่ยวกับการผลิต นำเข้า ส่งออก และมีไว้ครอบครองซึ่งวัตถุอันตราย และแท็งก์ติดตรึงกับตัวรถ </t>
  </si>
  <si>
    <t xml:space="preserve">- ค่าเบี้ยเลี้ยงเจ้าหน้าที่ (5 คน x 240 บาท/คน/วัน x 84 วัน) </t>
  </si>
  <si>
    <t>- ค่าเบี้ยเลี้ยงพนักงานขับรถ (2 คน x 240 บาท/คน/วัน x 84 วัน)</t>
  </si>
  <si>
    <t xml:space="preserve">- ค่าที่พักเจ้าหน้าที่  (5 คน x 800 บาท/คน/วัน x 42 คืน) </t>
  </si>
  <si>
    <t xml:space="preserve">- ค่าที่พักพนักงานขับรถ (2 คน x 800 บาท/คน/วัน x 42 คืน) </t>
  </si>
  <si>
    <t xml:space="preserve">- ค่าน้ำมันเชื้อเพลิง 120 กม./วัน/10 กม./1 ลิตร = 12 ลิตร/วัน/25 บาท = 300 บาท/วัน 84 วัน </t>
  </si>
  <si>
    <t>- ค่าแท็กซี่ 7 คน x 250 บาท x 2 เที่ยว x 12 ครั้ง</t>
  </si>
  <si>
    <t xml:space="preserve">(1.4.2) พัฒนาทักษะความรู้ด้านการบริหารจัดการ
วัตถุอันตรายและกฎหมายให้กับเจ้าหน้าที่ผู้กำกับดูแลวัตถุอันตราย อบรม 60 คน ระยะเวลา 2 วัน 
มีค่าใช้จ่าย ดังนี้  
</t>
  </si>
  <si>
    <t xml:space="preserve">- ค่าอาหาร และค่าอาหารว่าง เครื่องดื่ม (600 บาท x 2 วัน x 60 คน)    </t>
  </si>
  <si>
    <t xml:space="preserve">- ค่าที่พัก (1,200 บาท/คืน x 30 ห้อง)  </t>
  </si>
  <si>
    <t xml:space="preserve">- ค่าพาหนะ (13,400 บาท x 2 วัน) </t>
  </si>
  <si>
    <t>- ค่าห้องประชุมและอุปกรณ์ (7000 บาท x 2 วัน)</t>
  </si>
  <si>
    <t xml:space="preserve">- ค่าวิทยากร (ภายใน) (600 บาท x 5 ช.ม.) </t>
  </si>
  <si>
    <t xml:space="preserve">- ค่าวิทยากร (ภายนอก) 
(1,200 บาท x 5 คน x 5 ช.ม.)
</t>
  </si>
  <si>
    <t>(1.5) ค่าใช้จ่ายเบ็ดเตล็ด</t>
  </si>
  <si>
    <t>ตารางสรุปรายละเอียดค่าใช้จ่าย
โครงการจัดทำมาตรฐานการเก็บรักษาวัตถุอันตราย เพื่อยกระดับสถานที่เก็บรักษาวัตถุอันตราย</t>
  </si>
  <si>
    <t xml:space="preserve"> - ผู้เชี่ยวชาญด้านการบริหารจัดการสารเคมี  (ป.โท วิทยาศาสตร์ ป.7 ปี จำนวน 1 คน x 5 เดือน x 50,000 บาท)</t>
  </si>
  <si>
    <t xml:space="preserve"> - นักวิทยาศาสตร์ (เคมี) (ป.ตรี วิทยาศาสตร์ ป.5 ปี จำนวน 1 คน x 7 เดือน x 35,000 บาท)</t>
  </si>
  <si>
    <t xml:space="preserve"> - เจ้าหน้าที่บันทึกข้อมูล (ป.2 ปี 2 คน x 4 เดือน x12,000 บาท)</t>
  </si>
  <si>
    <t xml:space="preserve"> - ผู้ประสานงานโครงการ (ป.1 ปี 2 คน x 9 เดือน x15,000 บาท)</t>
  </si>
  <si>
    <t xml:space="preserve"> - ผู้จัดการโครงการ (ป.7 ปี วุฒิไม่ต่ำกว่าปริญญาโท ในสาขาวิทยาศาสตร์ วิศวกรรมศาสตร์ สิ่งแวดล้อม หรือสาขาอื่น ๆ ที่เกี่ยวข้อง) (1คน x 6 เดือน x 60,000 บาท) </t>
  </si>
  <si>
    <t xml:space="preserve"> - นักวิทยาศาสตร์ (เคมี) (ป.ตรี ป. 5  วิศวกรรม จำนวน 1คน x 7 เดือน x 50,000 บาท) </t>
  </si>
  <si>
    <t xml:space="preserve"> - ผู้เชี่ยวชาญด้านการบริหารจัดการสารเคมี  (ป.โท ป. 7  วิศวกรรม จำนวน 1คน x 6 เดือน x 50,000 บาท) </t>
  </si>
  <si>
    <t xml:space="preserve"> - เจ้าหน้าที่บันทึกข้อมูล ( ป.ตรี ป. 5  วิศวกรรม จำนวน 2 คน x 4 เดือน x 12,000 บาท) </t>
  </si>
  <si>
    <t xml:space="preserve"> - ผู้ประสานงานโครงการ ( ป.ตรี ป. 5  วิศวกรรม จำนวน 1 คน x 9 เดือน x 12,000 บาท) </t>
  </si>
  <si>
    <t xml:space="preserve">รวม
</t>
  </si>
  <si>
    <t>1. งบบุคลากร</t>
  </si>
  <si>
    <t>สรุปราคากลางค่าใช้จ่ายในการดำเนินโครงการ
โครงการพัฒนาพื้นที่อุตสาหกรรมอย่างมีศักยภาพเพื่อรองรับการลงทุน</t>
  </si>
  <si>
    <t>ผู้จัดการโครงการ (วุฒิไม่ต่ำกว่าปริญญาโท ในสาขาวิทยาศาสตร์ วิศวกรรมศาสตร์ สิ่งแวดล้อม หรือสาขาอื่น ๆ ที่เกี่ยวข้อง)  ประสบการณ์ 7 ปี (1 คน x 90,000 บาท/เดือน x 3 เดือน)</t>
  </si>
  <si>
    <t>ผู้เชี่ยวชาญด้านวิศวกรรม ป.โท  (วศ.ม) ประสบการณ์ 10 ปี (1 คน x 70,000 บาท/เดือน x 5 เดือน)</t>
  </si>
  <si>
    <t>ผู้เชี่ยวชาญด้านการวางนโยบายและกฎระเบียบ ป.โท  (วศ.ม) ประสบการณ์ 7 ปี (1 คน x 60,000 บาท/เดือน x 5 เดือน)</t>
  </si>
  <si>
    <t>ผู้เชี่ยวชาญด้านการจัดการสิ่งแวดล้อม ป.โท  (วศ.ม) ประสบการณ์ 7 ปี (1 คน x 60,000 บาท/เดือน x 5 เดือน)</t>
  </si>
  <si>
    <t>ผู้เชี่ยวชาญด้านสังคม ป.โท  (วศ.ม) ประสบการณ์ 7 ปี (1 คน x 60,000 บาท/เดือน x 5 เดือน)</t>
  </si>
  <si>
    <t>ผู้เชี่ยวชาญด้านอุตสาหกรรม ป.โท  (วศ.ม) ประสบการณ์ 7 ปี (1 คน x 60,000 บาท/เดือน x 5 เดือน)</t>
  </si>
  <si>
    <t>ผู้เชี่ยวชาญด้านเศรษฐศาสตร์ ป.โท (ศม.) ประสบการณ์ 7 ปี (1 คน x 60,000 บาท/เดือน x 5 เดือน)</t>
  </si>
  <si>
    <t>วิศวกร ป.โท  (วศ.ม) ประสบการณ์ 7 ปี (2 คน x 50,000 บาท/เดือน x 5 เดือน)</t>
  </si>
  <si>
    <t>รายละเอียดค่าใช้จ่าย
โครงการช่วยเหลือและติดตามโรงงานที่ขาดการจัดการกากอุตสาหกรรม</t>
  </si>
  <si>
    <t>รายละเอียดกิจกรรม
 โครงการพัฒนาและยกระดับผู้ประกอบการจัดการของเสียอันตรายภาคอุตสาหกรรม</t>
  </si>
  <si>
    <t>-  ผู้เชี่ยวชาญด้านการจัดการของเสีย (ป.โท วิศวกรรม/วิทยาศาสตร์ ประสบการณ์ 10 ปี) (1 คน x 60,000 บาท/เดือน x6 เดือน)</t>
  </si>
  <si>
    <t>-  ผู้เชี่ยวชาญด้านการตรวจประเมินสิ่งแวดล้อม (ป.โท วิศวกรรม/วิทยาศาสตร์ ประสบการณ์ 10 ปี) (1 คน x 60,000 บาท/เดือน x6 เดือน)</t>
  </si>
  <si>
    <t xml:space="preserve">        -  ผู้เชี่ยวชาญด้านสิ่งแวดล้อม (ป.โท วิศวกรรม/วิทยาศาสตร์) ประสบการณ์ 10 ปี) (1 คน x 60,000 บาท/เดือน x6 เดือน)</t>
  </si>
  <si>
    <t>-  วิศวกรหรือนักวิทยาศาสตร์สิ่งแวดล้อม  (ป.ตรี วิศวกรรม/วิทยาศาสตร์) ประสบการณ์ 3 ปี) (4 คน x 25,000 บาท/เดือน x9 เดือน)</t>
  </si>
  <si>
    <t xml:space="preserve">     -  ผู้ประสานงานโครงการ  (ป.ตรี ประสบการณ์ 2 ปี) (2 คน x 18,000 บาท/เดือน x9 เดือน)</t>
  </si>
  <si>
    <t>-  ผู้จัดการโครงการ (ป.โท วิศวกรรม/วิทยาศาสตร์ ประสบการณ์ 15 ปี) (1 คน x 72,000 บาท/เดือน x5 เดือน)</t>
  </si>
  <si>
    <t>-  ผู้จัดการโครงการ (ป.โท วิศวกรรม/วิทยาศาสตร์ ประสบการณ์ 15 ปี) (1 คน x 70,000 บาท/เดือน x5 เดือน)</t>
  </si>
  <si>
    <t>-  ผู้เชี่ยวชาญด้านการบริหารจัดการของเสีย (ป.โท วิศวกรรม/วิทยาศาสตร์ ประสบการณ์ 7 ปี) (2 คน x 50,000 บาท/เดือน x6 เดือน)</t>
  </si>
  <si>
    <t>-  ผู้เชี่ยวชาญด้านกระบวนการผลิต (ป.โท วิศวกรรม/วิทยาศาสตร์ ประสบการณ์ 7 ปี) (2 คน x 50,000 บาท/เดือน x5 เดือน)</t>
  </si>
  <si>
    <t xml:space="preserve">       -  ผู้เชี่ยวชาญด้านพลังงานและสิ่งแวดล้อม (ป.โท วิศวกรรม/วิทยาศาสตร์ ประสบการณ์ 7 ปี) (2 คน x 50,000 บาท/เดือน x5 เดือน)</t>
  </si>
  <si>
    <t>-  ผู้เชี่ยวชาญด้านการใช้เครื่องมือสนับสนุนการทำกิจกรรม 3 Rs (ป.โท วิศวกรรม/วิทยาศาสตร์ ประสบการณ์ 7 ปี) (2 คน x 50,000 บาท/เดือน x5 เดือน)</t>
  </si>
  <si>
    <t xml:space="preserve">     -  ผู้ประสานงานโครงการ (ป.ตรี ประสบการณ์ 2 ปี) (2 คน x 18,000 บาท/เดือน x9 เดือน)</t>
  </si>
  <si>
    <t>-  วิศวกรหรือนักวิทยาศาสตร์สิ่งแวดล้อม (ป.ตรี วิศวกรรม/วิทยาศาสตร์) ประสบการณ์ 3 ปี) (12 คน x 18,000 บาท/เดือน x7 เดือน)</t>
  </si>
  <si>
    <t xml:space="preserve"> รายละเอียด
โครงการปรับปรุงและพัฒนาระบบสารสนเทศการจัดการกากของเสียอุตสาหกรรม</t>
  </si>
  <si>
    <t>- ผู้จัดการโครงการ (ป.โท วิศวกรรม/วิทยาศาสตร์ ประสบการณ์ 15 ปี) (1 คน x 72,000 บาท/เดือน x5 เดือน)</t>
  </si>
  <si>
    <t>- นักเขียนโปรแกรม (ป.โท วิศวกรรม/วิทยาศาสตร์ ประสบการณ์ 10 ปี) (2 คน x 45,000 บาท/เดือน x7 เดือน)</t>
  </si>
  <si>
    <t xml:space="preserve"> นักวิเคราะห์ระบบ (ป.โท วิศวกรรม/วิทยาศาสตร์ ประสบการณ์ 5 ปี) (1 คน x 60,000 บาท/เดือน x5 เดือน)</t>
  </si>
  <si>
    <t xml:space="preserve"> -  ผู้ประสานงานโครงการ (ป.ตรี ประสบการณ์ 2 ปี) (2 คน x 15,000 บาท/เดือน x9 เดือน)</t>
  </si>
  <si>
    <t>- ผู้เชี่ยวชาญด้านระบบฐานข้อมูล (ป.โท วิศวกรรม/วิทยาศาสตร์ ประสบการณ์ 10 ปี) (1 คน x 60,000 บาทx6 เดือน)</t>
  </si>
  <si>
    <t>- ผู้จัดการโครงการ (ป.โท วิศวกรรม/วิทยาศาสตร์ ประสบการณ์ 15 ปี) (1 คน x 70,000 บาท/เดือน x5 เดือน)</t>
  </si>
  <si>
    <t>- ผู้เชี่ยวชาญด้านการบริหารจัดการของเสีย (ป.โท วิศวกรรม/วิทยาศาสตร์ ประสบการณ์ 7 ปี) (1 คน x 60,000 บาทx5 เดือน)</t>
  </si>
  <si>
    <t>- ผู้เชี่ยวชาญด้านการตรวจประเมินสิ่งแวดล้อม (ป.โท วิศวกรรม/วิทยาศาสตร์ ประสบการณ์ 7 ปี) (1 คน x 60,000 บาทx5 เดือน)</t>
  </si>
  <si>
    <t>- ผู้เชี่ยวชาญด้านกระบวนการผลิต (ป.โท วิศวกรรม/วิทยาศาสตร์ ประสบการณ์ 7 ปี) (1 คน x 60,000 บาทx5 เดือน)</t>
  </si>
  <si>
    <t>- ผู้เชี่ยวชาญด้านสิ่งแวดล้อม (ป.โท วิศวกรรม/วิทยาศาสตร์ ประสบการณ์ 7 ปี) (1 คน x 60,000 บาทx5 เดือน)</t>
  </si>
  <si>
    <t>- วิศวกรหรือนักวิทยาศาสตร์สิ่งแวดล้อม (ป.โท วิศวกรรม/วิทยาศาสตร์ ประสบการณ์ 3 ปี) (12 คน x 60,000 บาท/เดือน x5 เดือน)</t>
  </si>
  <si>
    <t xml:space="preserve"> - ผู้ประสานงานโครงการ (ป.ตรี ประสบการณ์ 2 ปี) (2 คน x 15,000 บาท/เดือน x9 เดือน)</t>
  </si>
  <si>
    <t xml:space="preserve">                  โครงการจัดทำฐานข้อมูลเพื่อการแลกเปลี่ยนหรือใช้ทรัพยากรร่วมกัน (RECP)และยกระดับโรงงานอุตสาหกรรมในพื้นที่เมืองอุตสาหกรรมเชิงนิเวศ 7 จังหวัด ในพื้นที่เป้าหมาย (จังหวัดพระนครศรีอยุธยา สระบุรี นครราชสีมา ขอนแก่น ราชบุรี สุราษฎร์ธานี และสงขลา)เพื่อเป็นเมืองอุตสาหกรรมเชิงนิเวศระดับ 2 (ในส่วนภาคอุตสาหกรรม)</t>
  </si>
  <si>
    <t>โครงการจัดทำฐานข้อมูลเพื่อการแลกเปลี่ยนหรือใช้ทรัพยากรร่วมกัน (RECP)และยกระดับโรงงานอุตสาหกรรมในพื้นที่เมืองอุตสาหกรรมเชิงนิเวศ 7 จังหวัด ในพื้นที่เป้าหมาย (จังหวัดพระนครศรีอยุธยา สระบุรี นครราชสีมา ขอนแก่น ราชบุรี สุราษฎร์ธานี และสงขลา)เพื่อเป็นเมืองอุตสาหกรรมเชิงนิเวศระดับ 2 (ในส่วนภาคอุตสาหกรรม)</t>
  </si>
  <si>
    <t>รายละเอียดค่าใช้จ่าย
โครงการขับเคลื่อนและประเมินผลการดำเนินการตามแผนปฏิบัติการภายใต้แผนแม่บท
การพัฒนาเมืองอุตสาหกรรมเชิงนิเวศ 15 จังหวัด (จังหวัดระยอง สมุทรปราการ สมุทรสาคร ฉะเชิงเทรา ปราจีนบุรี ชลบุรี นครปฐม สระบุรี พระนครศรีอยุธยา ราชบุรี สงขลา ขอนแก่น นครราชสีมา และสุราษฎร์ธานี</t>
  </si>
  <si>
    <t>ผู้จัดการโครงการ (ป.โท วิศวกรรม/วิทยาศาสตร์ ประสบการณ์ 15 ปี) (1 คน x 70,000 บาท/เดือน x5 เดือน)</t>
  </si>
  <si>
    <t>ผู้เชี่ยวชาญด้านการจัดการของเสีย (ป.โท วิศวกรรม/วิทยาศาสตร์ ประสบการณ์ 7 ปี) (6 คน x 60,000 บาท/เดือน x6 เดือน)</t>
  </si>
  <si>
    <t>วิศวกร/นักวิทยาศาสตร์ด้านสิ่งแวดล้อม (ป.ตรี วิศวกรรม/วิทยาศาสตร์ ประสบการณ์ 3 ปี) (20 คน x 25,000 บาท/เดือน x7 เดือน)</t>
  </si>
  <si>
    <t>เจ้าหน้าที่สนับสนุนโครงการ (ป.ตรี ประสบการณ์ 1 ปี) (40 คน x 15,500 บาท/เดือน x7 เดือน)</t>
  </si>
  <si>
    <t xml:space="preserve"> ผู้ประสานงานโครงการ (ป.ตรี ประสบการณ์ 1 ปี) (1 คน x 18,000 บาท/เดือน x9 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</si>
</sst>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0.0000"/>
    <numFmt numFmtId="188" formatCode="_(* #,##0_);_(* \(#,##0\);_(* &quot;-&quot;??_);_(@_)"/>
    <numFmt numFmtId="189" formatCode="_-* #,##0_-;\-* #,##0_-;_-* &quot;-&quot;??_-;_-@_-"/>
    <numFmt numFmtId="190" formatCode="0.00000"/>
    <numFmt numFmtId="191" formatCode="_(* #,##0.00_);_(* \(#,##0.00\);_(* &quot;-&quot;??_);_(@_)"/>
    <numFmt numFmtId="192" formatCode="_-* #,##0.0000_-;\-* #,##0.0000_-;_-* &quot;-&quot;??_-;_-@_-"/>
    <numFmt numFmtId="193" formatCode="#,##0.0000"/>
    <numFmt numFmtId="194" formatCode="0.0"/>
  </numFmts>
  <fonts count="7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scheme val="minor"/>
    </font>
    <font>
      <sz val="14"/>
      <name val="Arial"/>
      <family val="2"/>
    </font>
    <font>
      <b/>
      <i/>
      <u val="double"/>
      <sz val="14"/>
      <name val="TH SarabunPSK"/>
      <family val="2"/>
    </font>
    <font>
      <b/>
      <u val="double"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i/>
      <sz val="14"/>
      <name val="TH SarabunPSK"/>
      <family val="2"/>
    </font>
    <font>
      <b/>
      <sz val="14"/>
      <color rgb="FF000000"/>
      <name val="TH SarabunPSK"/>
      <family val="2"/>
    </font>
    <font>
      <sz val="12"/>
      <color theme="1"/>
      <name val="Tahoma"/>
      <family val="2"/>
      <scheme val="minor"/>
    </font>
    <font>
      <sz val="14"/>
      <color rgb="FF000000"/>
      <name val="TH SarabunPSK"/>
      <family val="2"/>
    </font>
    <font>
      <sz val="11"/>
      <color rgb="FF000000"/>
      <name val="TH SarabunPSK"/>
      <family val="2"/>
    </font>
    <font>
      <sz val="14"/>
      <color rgb="FF000000"/>
      <name val="TH SarabunIT๙"/>
      <family val="2"/>
    </font>
    <font>
      <b/>
      <i/>
      <sz val="16"/>
      <name val="TH SarabunPSK"/>
      <family val="2"/>
    </font>
    <font>
      <b/>
      <sz val="10"/>
      <name val="TH SarabunPSK"/>
      <family val="2"/>
    </font>
    <font>
      <b/>
      <u val="singleAccounting"/>
      <sz val="14"/>
      <name val="TH SarabunPSK"/>
      <family val="2"/>
    </font>
    <font>
      <b/>
      <u/>
      <sz val="13"/>
      <name val="TH SarabunPSK"/>
      <family val="2"/>
    </font>
    <font>
      <sz val="14"/>
      <name val="AngsanaUPC"/>
      <family val="1"/>
    </font>
    <font>
      <sz val="12"/>
      <color rgb="FF000000"/>
      <name val="TH SarabunPSK"/>
      <family val="2"/>
    </font>
    <font>
      <sz val="14"/>
      <name val="TH SarabunPSK"/>
      <family val="2"/>
      <charset val="222"/>
    </font>
    <font>
      <b/>
      <u/>
      <sz val="14"/>
      <name val="TH SarabunPSK"/>
      <family val="2"/>
      <charset val="222"/>
    </font>
    <font>
      <sz val="14"/>
      <color rgb="FF000000"/>
      <name val="TH SarabunPSK"/>
      <family val="2"/>
      <charset val="222"/>
    </font>
    <font>
      <b/>
      <sz val="14"/>
      <name val="TH SarabunPSK"/>
      <family val="2"/>
      <charset val="222"/>
    </font>
    <font>
      <b/>
      <sz val="14"/>
      <color rgb="FF000000"/>
      <name val="TH SarabunPSK"/>
      <family val="2"/>
      <charset val="222"/>
    </font>
    <font>
      <sz val="14"/>
      <name val="TH SarabunIT๙"/>
      <family val="2"/>
    </font>
    <font>
      <b/>
      <sz val="12"/>
      <color rgb="FF000000"/>
      <name val="TH SarabunPSK"/>
      <family val="2"/>
    </font>
    <font>
      <sz val="12"/>
      <color rgb="FFFFFFFF"/>
      <name val="TH SarabunPSK"/>
      <family val="2"/>
    </font>
    <font>
      <b/>
      <sz val="12"/>
      <name val="TH SarabunPSK"/>
      <family val="2"/>
      <charset val="222"/>
    </font>
    <font>
      <sz val="11"/>
      <color theme="1"/>
      <name val="Tahoma"/>
      <family val="2"/>
      <charset val="22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i/>
      <u/>
      <sz val="14"/>
      <name val="TH SarabunPSK"/>
      <family val="2"/>
    </font>
    <font>
      <b/>
      <sz val="16"/>
      <color rgb="FF000000"/>
      <name val="TH SarabunIT๙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name val="TH SarabunPSK"/>
      <charset val="222"/>
    </font>
    <font>
      <b/>
      <sz val="16"/>
      <color rgb="FFFF0000"/>
      <name val="TH SarabunPSK"/>
      <charset val="222"/>
    </font>
    <font>
      <b/>
      <sz val="16"/>
      <name val="TH SarabunPSK"/>
      <charset val="222"/>
    </font>
    <font>
      <b/>
      <sz val="14"/>
      <name val="TH SarabunPSK"/>
      <charset val="222"/>
    </font>
    <font>
      <b/>
      <sz val="14"/>
      <color rgb="FFFF0000"/>
      <name val="TH SarabunPSK"/>
      <charset val="222"/>
    </font>
    <font>
      <b/>
      <sz val="14"/>
      <color rgb="FF000000"/>
      <name val="TH SarabunPSK"/>
      <charset val="222"/>
    </font>
    <font>
      <sz val="14"/>
      <name val="TH SarabunPSK"/>
      <charset val="222"/>
    </font>
    <font>
      <sz val="14"/>
      <color rgb="FF000000"/>
      <name val="TH SarabunPSK"/>
      <charset val="222"/>
    </font>
    <font>
      <b/>
      <u/>
      <sz val="14"/>
      <color rgb="FF000000"/>
      <name val="TH SarabunPSK"/>
      <charset val="222"/>
    </font>
    <font>
      <b/>
      <sz val="11"/>
      <name val="TH SarabunPSK"/>
      <family val="2"/>
    </font>
    <font>
      <b/>
      <i/>
      <sz val="14"/>
      <color rgb="FF000000"/>
      <name val="TH SarabunPSK"/>
      <family val="2"/>
    </font>
    <font>
      <sz val="14"/>
      <name val="AngsanaUPC"/>
    </font>
    <font>
      <b/>
      <sz val="14"/>
      <color rgb="FFC00000"/>
      <name val="TH SarabunPSK"/>
      <family val="2"/>
    </font>
    <font>
      <sz val="14"/>
      <name val="AngsanaUPC"/>
      <family val="1"/>
      <charset val="222"/>
    </font>
    <font>
      <b/>
      <u/>
      <sz val="12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2"/>
      <name val="Wingdings"/>
      <charset val="2"/>
    </font>
    <font>
      <b/>
      <i/>
      <sz val="12"/>
      <name val="TH SarabunPSK"/>
      <family val="2"/>
    </font>
    <font>
      <u/>
      <sz val="12"/>
      <name val="TH SarabunPSK"/>
      <family val="2"/>
    </font>
    <font>
      <sz val="12"/>
      <color theme="0"/>
      <name val="TH SarabunPSK"/>
      <family val="2"/>
    </font>
    <font>
      <sz val="16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2F2F2"/>
        <bgColor rgb="FF000000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6" fillId="0" borderId="0"/>
    <xf numFmtId="43" fontId="17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0" fontId="28" fillId="0" borderId="0"/>
    <xf numFmtId="0" fontId="28" fillId="0" borderId="0"/>
    <xf numFmtId="0" fontId="16" fillId="0" borderId="0"/>
    <xf numFmtId="0" fontId="16" fillId="0" borderId="0"/>
    <xf numFmtId="191" fontId="60" fillId="0" borderId="0" applyFont="0" applyFill="0" applyBorder="0" applyAlignment="0" applyProtection="0"/>
    <xf numFmtId="0" fontId="28" fillId="0" borderId="0"/>
    <xf numFmtId="0" fontId="16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916">
    <xf numFmtId="0" fontId="0" fillId="0" borderId="0" xfId="0"/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87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87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10" fillId="0" borderId="0" xfId="0" applyFont="1" applyFill="1" applyBorder="1" applyAlignment="1"/>
    <xf numFmtId="1" fontId="11" fillId="0" borderId="7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 horizontal="right" vertical="top" wrapText="1"/>
    </xf>
    <xf numFmtId="3" fontId="11" fillId="0" borderId="7" xfId="0" applyNumberFormat="1" applyFont="1" applyFill="1" applyBorder="1" applyAlignment="1">
      <alignment horizontal="right" vertical="top" wrapText="1"/>
    </xf>
    <xf numFmtId="3" fontId="11" fillId="0" borderId="7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right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vertical="top" wrapText="1"/>
    </xf>
    <xf numFmtId="0" fontId="11" fillId="0" borderId="7" xfId="0" quotePrefix="1" applyFont="1" applyFill="1" applyBorder="1" applyAlignment="1">
      <alignment horizontal="left" vertical="top" wrapText="1" indent="1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center"/>
    </xf>
    <xf numFmtId="3" fontId="11" fillId="0" borderId="7" xfId="1" applyNumberFormat="1" applyFont="1" applyFill="1" applyBorder="1" applyAlignment="1">
      <alignment horizontal="center"/>
    </xf>
    <xf numFmtId="0" fontId="12" fillId="0" borderId="0" xfId="1" applyFont="1"/>
    <xf numFmtId="0" fontId="13" fillId="0" borderId="0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top" wrapText="1" indent="1"/>
    </xf>
    <xf numFmtId="0" fontId="11" fillId="0" borderId="7" xfId="1" applyFont="1" applyBorder="1" applyAlignment="1">
      <alignment horizontal="left" vertical="top" wrapText="1" indent="1"/>
    </xf>
    <xf numFmtId="3" fontId="14" fillId="0" borderId="7" xfId="0" applyNumberFormat="1" applyFont="1" applyFill="1" applyBorder="1" applyAlignment="1">
      <alignment horizontal="right" vertical="top" wrapText="1"/>
    </xf>
    <xf numFmtId="0" fontId="15" fillId="0" borderId="7" xfId="1" applyFont="1" applyBorder="1" applyAlignment="1">
      <alignment vertical="top" wrapText="1"/>
    </xf>
    <xf numFmtId="0" fontId="11" fillId="0" borderId="7" xfId="0" applyFont="1" applyFill="1" applyBorder="1"/>
    <xf numFmtId="0" fontId="3" fillId="0" borderId="7" xfId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0" fontId="20" fillId="0" borderId="0" xfId="1" applyFont="1"/>
    <xf numFmtId="0" fontId="11" fillId="0" borderId="7" xfId="0" applyFont="1" applyFill="1" applyBorder="1" applyAlignment="1">
      <alignment horizontal="center"/>
    </xf>
    <xf numFmtId="3" fontId="20" fillId="0" borderId="0" xfId="1" applyNumberFormat="1" applyFont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11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top" wrapText="1"/>
    </xf>
    <xf numFmtId="4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top"/>
    </xf>
    <xf numFmtId="4" fontId="8" fillId="0" borderId="0" xfId="2" applyNumberFormat="1" applyFont="1" applyFill="1" applyBorder="1" applyAlignment="1">
      <alignment vertical="top"/>
    </xf>
    <xf numFmtId="0" fontId="4" fillId="2" borderId="10" xfId="2" applyFont="1" applyFill="1" applyBorder="1" applyAlignment="1">
      <alignment horizontal="center"/>
    </xf>
    <xf numFmtId="4" fontId="4" fillId="2" borderId="10" xfId="3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 wrapText="1"/>
    </xf>
    <xf numFmtId="4" fontId="4" fillId="2" borderId="17" xfId="3" applyNumberFormat="1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 vertical="center"/>
    </xf>
    <xf numFmtId="0" fontId="4" fillId="3" borderId="18" xfId="2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4" fillId="0" borderId="11" xfId="2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wrapText="1"/>
    </xf>
    <xf numFmtId="0" fontId="11" fillId="0" borderId="19" xfId="0" applyFont="1" applyFill="1" applyBorder="1" applyAlignment="1"/>
    <xf numFmtId="3" fontId="21" fillId="0" borderId="14" xfId="0" applyNumberFormat="1" applyFont="1" applyFill="1" applyBorder="1" applyAlignment="1">
      <alignment wrapText="1"/>
    </xf>
    <xf numFmtId="0" fontId="21" fillId="0" borderId="19" xfId="0" applyFont="1" applyFill="1" applyBorder="1" applyAlignment="1"/>
    <xf numFmtId="0" fontId="21" fillId="0" borderId="0" xfId="2" applyFont="1" applyFill="1" applyBorder="1"/>
    <xf numFmtId="3" fontId="21" fillId="0" borderId="16" xfId="0" applyNumberFormat="1" applyFont="1" applyFill="1" applyBorder="1" applyAlignment="1">
      <alignment wrapText="1"/>
    </xf>
    <xf numFmtId="0" fontId="19" fillId="3" borderId="12" xfId="2" applyFont="1" applyFill="1" applyBorder="1" applyAlignment="1">
      <alignment vertical="center"/>
    </xf>
    <xf numFmtId="3" fontId="19" fillId="3" borderId="12" xfId="0" applyNumberFormat="1" applyFont="1" applyFill="1" applyBorder="1" applyAlignment="1">
      <alignment vertical="center" wrapText="1"/>
    </xf>
    <xf numFmtId="0" fontId="22" fillId="0" borderId="0" xfId="0" applyFont="1" applyFill="1" applyBorder="1"/>
    <xf numFmtId="0" fontId="4" fillId="0" borderId="12" xfId="2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3" fontId="19" fillId="3" borderId="12" xfId="0" applyNumberFormat="1" applyFont="1" applyFill="1" applyBorder="1" applyAlignment="1">
      <alignment horizontal="right" vertical="center"/>
    </xf>
    <xf numFmtId="188" fontId="22" fillId="0" borderId="0" xfId="0" applyNumberFormat="1" applyFont="1" applyFill="1" applyBorder="1" applyAlignment="1">
      <alignment vertical="center"/>
    </xf>
    <xf numFmtId="0" fontId="19" fillId="0" borderId="12" xfId="2" applyFont="1" applyFill="1" applyBorder="1" applyAlignment="1">
      <alignment vertical="center"/>
    </xf>
    <xf numFmtId="188" fontId="4" fillId="0" borderId="17" xfId="0" applyNumberFormat="1" applyFont="1" applyFill="1" applyBorder="1" applyAlignment="1">
      <alignment vertical="center" wrapText="1"/>
    </xf>
    <xf numFmtId="0" fontId="11" fillId="0" borderId="14" xfId="2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horizontal="right" vertical="top" wrapText="1"/>
    </xf>
    <xf numFmtId="0" fontId="11" fillId="0" borderId="0" xfId="2" applyFont="1" applyFill="1" applyBorder="1" applyAlignment="1">
      <alignment vertical="top" wrapText="1"/>
    </xf>
    <xf numFmtId="0" fontId="11" fillId="0" borderId="14" xfId="2" applyFont="1" applyFill="1" applyBorder="1" applyAlignment="1">
      <alignment horizontal="left" vertical="top" wrapText="1"/>
    </xf>
    <xf numFmtId="3" fontId="11" fillId="0" borderId="14" xfId="0" applyNumberFormat="1" applyFont="1" applyFill="1" applyBorder="1" applyAlignment="1">
      <alignment horizontal="right" vertical="top" wrapText="1"/>
    </xf>
    <xf numFmtId="0" fontId="4" fillId="0" borderId="12" xfId="2" applyFont="1" applyFill="1" applyBorder="1" applyAlignment="1">
      <alignment vertical="top"/>
    </xf>
    <xf numFmtId="3" fontId="4" fillId="0" borderId="12" xfId="3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/>
    <xf numFmtId="0" fontId="4" fillId="0" borderId="0" xfId="2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center"/>
    </xf>
    <xf numFmtId="3" fontId="21" fillId="0" borderId="0" xfId="0" applyNumberFormat="1" applyFont="1" applyFill="1" applyBorder="1"/>
    <xf numFmtId="0" fontId="11" fillId="0" borderId="21" xfId="2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right" vertical="top" wrapText="1"/>
    </xf>
    <xf numFmtId="0" fontId="11" fillId="0" borderId="22" xfId="2" applyFont="1" applyFill="1" applyBorder="1" applyAlignment="1">
      <alignment horizontal="left" vertical="top"/>
    </xf>
    <xf numFmtId="0" fontId="11" fillId="0" borderId="22" xfId="0" applyFont="1" applyFill="1" applyBorder="1" applyAlignment="1">
      <alignment vertical="center"/>
    </xf>
    <xf numFmtId="0" fontId="4" fillId="0" borderId="12" xfId="2" applyFont="1" applyFill="1" applyBorder="1" applyAlignment="1">
      <alignment horizontal="center"/>
    </xf>
    <xf numFmtId="4" fontId="4" fillId="0" borderId="12" xfId="3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0" fontId="4" fillId="0" borderId="23" xfId="2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3" fontId="21" fillId="0" borderId="20" xfId="0" applyNumberFormat="1" applyFont="1" applyFill="1" applyBorder="1" applyAlignment="1">
      <alignment wrapText="1"/>
    </xf>
    <xf numFmtId="0" fontId="21" fillId="0" borderId="15" xfId="0" applyFont="1" applyFill="1" applyBorder="1"/>
    <xf numFmtId="0" fontId="11" fillId="0" borderId="1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/>
    <xf numFmtId="0" fontId="11" fillId="0" borderId="16" xfId="0" applyFont="1" applyFill="1" applyBorder="1" applyAlignment="1">
      <alignment vertical="center"/>
    </xf>
    <xf numFmtId="0" fontId="11" fillId="0" borderId="13" xfId="2" applyFont="1" applyFill="1" applyBorder="1" applyAlignment="1">
      <alignment vertical="top"/>
    </xf>
    <xf numFmtId="0" fontId="11" fillId="0" borderId="14" xfId="2" applyFont="1" applyFill="1" applyBorder="1" applyAlignment="1">
      <alignment horizontal="left" vertical="top"/>
    </xf>
    <xf numFmtId="3" fontId="19" fillId="0" borderId="12" xfId="0" applyNumberFormat="1" applyFont="1" applyFill="1" applyBorder="1" applyAlignment="1">
      <alignment horizontal="right" vertical="top"/>
    </xf>
    <xf numFmtId="0" fontId="11" fillId="0" borderId="16" xfId="0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/>
    </xf>
    <xf numFmtId="3" fontId="19" fillId="0" borderId="12" xfId="0" applyNumberFormat="1" applyFont="1" applyFill="1" applyBorder="1" applyAlignment="1">
      <alignment horizontal="right"/>
    </xf>
    <xf numFmtId="3" fontId="21" fillId="0" borderId="16" xfId="0" applyNumberFormat="1" applyFont="1" applyFill="1" applyBorder="1"/>
    <xf numFmtId="0" fontId="11" fillId="0" borderId="13" xfId="0" applyFont="1" applyFill="1" applyBorder="1" applyAlignment="1">
      <alignment vertical="center"/>
    </xf>
    <xf numFmtId="49" fontId="4" fillId="0" borderId="12" xfId="2" applyNumberFormat="1" applyFont="1" applyFill="1" applyBorder="1" applyAlignment="1">
      <alignment horizontal="center" vertical="top"/>
    </xf>
    <xf numFmtId="3" fontId="11" fillId="0" borderId="0" xfId="2" applyNumberFormat="1" applyFont="1" applyFill="1" applyBorder="1"/>
    <xf numFmtId="0" fontId="4" fillId="0" borderId="12" xfId="2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center"/>
    </xf>
    <xf numFmtId="3" fontId="21" fillId="0" borderId="11" xfId="0" applyNumberFormat="1" applyFont="1" applyFill="1" applyBorder="1"/>
    <xf numFmtId="0" fontId="4" fillId="0" borderId="24" xfId="2" applyFont="1" applyFill="1" applyBorder="1" applyAlignment="1">
      <alignment horizontal="center"/>
    </xf>
    <xf numFmtId="0" fontId="11" fillId="0" borderId="17" xfId="0" applyFont="1" applyFill="1" applyBorder="1"/>
    <xf numFmtId="3" fontId="21" fillId="0" borderId="17" xfId="0" applyNumberFormat="1" applyFont="1" applyFill="1" applyBorder="1"/>
    <xf numFmtId="0" fontId="4" fillId="0" borderId="17" xfId="2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3" fontId="19" fillId="0" borderId="17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center" vertical="top"/>
    </xf>
    <xf numFmtId="3" fontId="21" fillId="0" borderId="11" xfId="0" applyNumberFormat="1" applyFont="1" applyFill="1" applyBorder="1" applyAlignment="1">
      <alignment horizontal="right"/>
    </xf>
    <xf numFmtId="3" fontId="21" fillId="0" borderId="13" xfId="0" applyNumberFormat="1" applyFont="1" applyFill="1" applyBorder="1"/>
    <xf numFmtId="0" fontId="4" fillId="0" borderId="18" xfId="2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center" wrapText="1"/>
    </xf>
    <xf numFmtId="3" fontId="19" fillId="0" borderId="12" xfId="0" applyNumberFormat="1" applyFont="1" applyFill="1" applyBorder="1"/>
    <xf numFmtId="0" fontId="23" fillId="0" borderId="6" xfId="1" quotePrefix="1" applyFont="1" applyFill="1" applyBorder="1"/>
    <xf numFmtId="0" fontId="23" fillId="0" borderId="7" xfId="1" quotePrefix="1" applyFont="1" applyFill="1" applyBorder="1" applyAlignment="1">
      <alignment horizontal="left" vertical="center" wrapText="1"/>
    </xf>
    <xf numFmtId="0" fontId="23" fillId="0" borderId="7" xfId="1" quotePrefix="1" applyFont="1" applyFill="1" applyBorder="1"/>
    <xf numFmtId="0" fontId="23" fillId="0" borderId="7" xfId="1" quotePrefix="1" applyFont="1" applyFill="1" applyBorder="1" applyAlignment="1">
      <alignment horizontal="left" vertical="top" wrapText="1"/>
    </xf>
    <xf numFmtId="0" fontId="23" fillId="0" borderId="7" xfId="1" quotePrefix="1" applyFont="1" applyFill="1" applyBorder="1" applyAlignment="1">
      <alignment wrapText="1"/>
    </xf>
    <xf numFmtId="0" fontId="4" fillId="0" borderId="18" xfId="2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horizontal="right" vertical="top" wrapText="1"/>
    </xf>
    <xf numFmtId="0" fontId="8" fillId="0" borderId="18" xfId="2" applyFont="1" applyFill="1" applyBorder="1" applyAlignment="1">
      <alignment horizontal="center"/>
    </xf>
    <xf numFmtId="0" fontId="24" fillId="0" borderId="12" xfId="2" applyFont="1" applyFill="1" applyBorder="1" applyAlignment="1">
      <alignment horizontal="right"/>
    </xf>
    <xf numFmtId="4" fontId="8" fillId="0" borderId="25" xfId="2" applyNumberFormat="1" applyFont="1" applyFill="1" applyBorder="1" applyAlignment="1"/>
    <xf numFmtId="4" fontId="11" fillId="0" borderId="0" xfId="2" applyNumberFormat="1" applyFont="1" applyFill="1" applyBorder="1" applyAlignment="1"/>
    <xf numFmtId="0" fontId="8" fillId="0" borderId="0" xfId="2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top" wrapText="1" indent="1"/>
    </xf>
    <xf numFmtId="1" fontId="11" fillId="0" borderId="2" xfId="0" applyNumberFormat="1" applyFont="1" applyFill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3" fontId="11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top" wrapText="1"/>
    </xf>
    <xf numFmtId="3" fontId="18" fillId="0" borderId="7" xfId="0" applyNumberFormat="1" applyFont="1" applyFill="1" applyBorder="1" applyAlignment="1">
      <alignment horizontal="right" vertical="top" wrapText="1"/>
    </xf>
    <xf numFmtId="189" fontId="26" fillId="0" borderId="7" xfId="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189" fontId="11" fillId="0" borderId="0" xfId="5" applyNumberFormat="1" applyFont="1" applyFill="1" applyBorder="1"/>
    <xf numFmtId="49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89" fontId="5" fillId="0" borderId="28" xfId="5" applyNumberFormat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89" fontId="5" fillId="0" borderId="30" xfId="5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/>
    <xf numFmtId="189" fontId="5" fillId="0" borderId="7" xfId="5" applyNumberFormat="1" applyFont="1" applyFill="1" applyBorder="1"/>
    <xf numFmtId="189" fontId="3" fillId="0" borderId="7" xfId="5" applyNumberFormat="1" applyFont="1" applyFill="1" applyBorder="1"/>
    <xf numFmtId="49" fontId="5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5" fillId="5" borderId="7" xfId="0" applyNumberFormat="1" applyFont="1" applyFill="1" applyBorder="1" applyAlignment="1">
      <alignment horizontal="left" indent="2"/>
    </xf>
    <xf numFmtId="0" fontId="3" fillId="5" borderId="7" xfId="0" applyFont="1" applyFill="1" applyBorder="1"/>
    <xf numFmtId="0" fontId="3" fillId="5" borderId="7" xfId="0" applyFont="1" applyFill="1" applyBorder="1" applyAlignment="1">
      <alignment horizontal="center"/>
    </xf>
    <xf numFmtId="189" fontId="5" fillId="2" borderId="7" xfId="5" applyNumberFormat="1" applyFont="1" applyFill="1" applyBorder="1"/>
    <xf numFmtId="49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top"/>
    </xf>
    <xf numFmtId="189" fontId="3" fillId="0" borderId="7" xfId="5" applyNumberFormat="1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189" fontId="5" fillId="2" borderId="7" xfId="5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89" fontId="3" fillId="2" borderId="7" xfId="5" applyNumberFormat="1" applyFont="1" applyFill="1" applyBorder="1" applyAlignment="1">
      <alignment horizontal="center" vertical="top"/>
    </xf>
    <xf numFmtId="189" fontId="5" fillId="0" borderId="7" xfId="5" applyNumberFormat="1" applyFont="1" applyFill="1" applyBorder="1" applyAlignment="1">
      <alignment horizontal="center" vertical="top"/>
    </xf>
    <xf numFmtId="0" fontId="29" fillId="0" borderId="7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left" indent="2"/>
    </xf>
    <xf numFmtId="49" fontId="5" fillId="5" borderId="7" xfId="0" applyNumberFormat="1" applyFont="1" applyFill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indent="2"/>
    </xf>
    <xf numFmtId="49" fontId="5" fillId="5" borderId="3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49" fontId="5" fillId="5" borderId="6" xfId="0" applyNumberFormat="1" applyFont="1" applyFill="1" applyBorder="1" applyAlignment="1"/>
    <xf numFmtId="0" fontId="5" fillId="5" borderId="3" xfId="0" applyFont="1" applyFill="1" applyBorder="1" applyAlignment="1">
      <alignment vertical="top" wrapText="1"/>
    </xf>
    <xf numFmtId="0" fontId="5" fillId="5" borderId="7" xfId="0" applyFont="1" applyFill="1" applyBorder="1" applyAlignment="1"/>
    <xf numFmtId="49" fontId="5" fillId="5" borderId="7" xfId="0" applyNumberFormat="1" applyFont="1" applyFill="1" applyBorder="1" applyAlignment="1"/>
    <xf numFmtId="49" fontId="3" fillId="0" borderId="7" xfId="0" applyNumberFormat="1" applyFont="1" applyFill="1" applyBorder="1" applyAlignment="1"/>
    <xf numFmtId="49" fontId="5" fillId="5" borderId="6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/>
    </xf>
    <xf numFmtId="189" fontId="5" fillId="2" borderId="7" xfId="5" applyNumberFormat="1" applyFont="1" applyFill="1" applyBorder="1" applyAlignment="1">
      <alignment horizontal="right"/>
    </xf>
    <xf numFmtId="49" fontId="5" fillId="5" borderId="4" xfId="0" applyNumberFormat="1" applyFont="1" applyFill="1" applyBorder="1" applyAlignment="1">
      <alignment horizontal="left" indent="2"/>
    </xf>
    <xf numFmtId="49" fontId="3" fillId="0" borderId="4" xfId="0" applyNumberFormat="1" applyFont="1" applyFill="1" applyBorder="1" applyAlignment="1">
      <alignment horizontal="left" indent="2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89" fontId="3" fillId="2" borderId="7" xfId="5" applyNumberFormat="1" applyFont="1" applyFill="1" applyBorder="1" applyAlignment="1">
      <alignment horizontal="center"/>
    </xf>
    <xf numFmtId="189" fontId="3" fillId="2" borderId="7" xfId="5" applyNumberFormat="1" applyFont="1" applyFill="1" applyBorder="1" applyAlignment="1">
      <alignment horizontal="right"/>
    </xf>
    <xf numFmtId="189" fontId="3" fillId="0" borderId="7" xfId="5" applyNumberFormat="1" applyFont="1" applyFill="1" applyBorder="1" applyAlignment="1">
      <alignment horizontal="center"/>
    </xf>
    <xf numFmtId="189" fontId="3" fillId="0" borderId="7" xfId="5" applyNumberFormat="1" applyFont="1" applyFill="1" applyBorder="1" applyAlignment="1">
      <alignment horizontal="right"/>
    </xf>
    <xf numFmtId="0" fontId="3" fillId="2" borderId="7" xfId="0" applyFont="1" applyFill="1" applyBorder="1"/>
    <xf numFmtId="0" fontId="11" fillId="2" borderId="7" xfId="0" applyFont="1" applyFill="1" applyBorder="1"/>
    <xf numFmtId="49" fontId="3" fillId="2" borderId="4" xfId="0" applyNumberFormat="1" applyFont="1" applyFill="1" applyBorder="1" applyAlignment="1">
      <alignment horizontal="left" indent="2"/>
    </xf>
    <xf numFmtId="0" fontId="11" fillId="2" borderId="0" xfId="0" applyFont="1" applyFill="1" applyBorder="1"/>
    <xf numFmtId="49" fontId="3" fillId="0" borderId="4" xfId="0" applyNumberFormat="1" applyFont="1" applyFill="1" applyBorder="1" applyAlignment="1">
      <alignment horizontal="left" vertical="top" indent="2"/>
    </xf>
    <xf numFmtId="49" fontId="3" fillId="0" borderId="4" xfId="0" applyNumberFormat="1" applyFont="1" applyFill="1" applyBorder="1" applyAlignment="1">
      <alignment horizontal="left" wrapText="1" indent="2"/>
    </xf>
    <xf numFmtId="49" fontId="3" fillId="2" borderId="4" xfId="0" applyNumberFormat="1" applyFont="1" applyFill="1" applyBorder="1" applyAlignment="1">
      <alignment horizontal="left" wrapText="1" indent="2"/>
    </xf>
    <xf numFmtId="3" fontId="3" fillId="0" borderId="7" xfId="0" applyNumberFormat="1" applyFont="1" applyFill="1" applyBorder="1" applyAlignment="1">
      <alignment horizontal="left"/>
    </xf>
    <xf numFmtId="0" fontId="3" fillId="2" borderId="7" xfId="0" applyFont="1" applyFill="1" applyBorder="1" applyAlignment="1"/>
    <xf numFmtId="49" fontId="3" fillId="2" borderId="0" xfId="0" applyNumberFormat="1" applyFont="1" applyFill="1" applyBorder="1" applyAlignment="1">
      <alignment horizontal="left" indent="2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89" fontId="3" fillId="0" borderId="0" xfId="5" applyNumberFormat="1" applyFont="1" applyFill="1" applyBorder="1" applyAlignment="1">
      <alignment horizontal="right"/>
    </xf>
    <xf numFmtId="0" fontId="30" fillId="0" borderId="0" xfId="7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7" applyFont="1" applyFill="1" applyBorder="1" applyAlignment="1">
      <alignment vertical="top"/>
    </xf>
    <xf numFmtId="189" fontId="5" fillId="2" borderId="6" xfId="5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left" vertical="top" wrapText="1"/>
    </xf>
    <xf numFmtId="0" fontId="11" fillId="0" borderId="8" xfId="0" applyFont="1" applyFill="1" applyBorder="1"/>
    <xf numFmtId="0" fontId="11" fillId="2" borderId="8" xfId="0" applyFont="1" applyFill="1" applyBorder="1"/>
    <xf numFmtId="0" fontId="11" fillId="0" borderId="6" xfId="0" applyFont="1" applyFill="1" applyBorder="1"/>
    <xf numFmtId="0" fontId="4" fillId="0" borderId="7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30" xfId="6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 vertical="center" wrapText="1"/>
    </xf>
    <xf numFmtId="189" fontId="33" fillId="0" borderId="30" xfId="5" applyNumberFormat="1" applyFont="1" applyFill="1" applyBorder="1" applyAlignment="1">
      <alignment horizontal="center" vertical="center" wrapText="1"/>
    </xf>
    <xf numFmtId="0" fontId="30" fillId="0" borderId="8" xfId="0" applyFont="1" applyFill="1" applyBorder="1"/>
    <xf numFmtId="0" fontId="30" fillId="0" borderId="7" xfId="0" applyFont="1" applyFill="1" applyBorder="1"/>
    <xf numFmtId="0" fontId="30" fillId="4" borderId="7" xfId="0" applyFont="1" applyFill="1" applyBorder="1" applyAlignment="1">
      <alignment horizontal="center"/>
    </xf>
    <xf numFmtId="0" fontId="30" fillId="4" borderId="7" xfId="0" applyFont="1" applyFill="1" applyBorder="1"/>
    <xf numFmtId="189" fontId="33" fillId="0" borderId="7" xfId="5" applyNumberFormat="1" applyFont="1" applyFill="1" applyBorder="1"/>
    <xf numFmtId="189" fontId="30" fillId="0" borderId="7" xfId="5" applyNumberFormat="1" applyFont="1" applyFill="1" applyBorder="1"/>
    <xf numFmtId="0" fontId="30" fillId="0" borderId="0" xfId="0" applyFont="1" applyFill="1" applyBorder="1"/>
    <xf numFmtId="0" fontId="30" fillId="0" borderId="6" xfId="0" applyFont="1" applyFill="1" applyBorder="1" applyAlignment="1">
      <alignment horizontal="center"/>
    </xf>
    <xf numFmtId="0" fontId="30" fillId="0" borderId="6" xfId="0" applyFont="1" applyFill="1" applyBorder="1"/>
    <xf numFmtId="0" fontId="30" fillId="5" borderId="7" xfId="0" applyFont="1" applyFill="1" applyBorder="1"/>
    <xf numFmtId="0" fontId="30" fillId="5" borderId="7" xfId="0" applyFont="1" applyFill="1" applyBorder="1" applyAlignment="1">
      <alignment horizontal="center"/>
    </xf>
    <xf numFmtId="189" fontId="33" fillId="5" borderId="7" xfId="5" applyNumberFormat="1" applyFont="1" applyFill="1" applyBorder="1"/>
    <xf numFmtId="189" fontId="30" fillId="0" borderId="0" xfId="0" applyNumberFormat="1" applyFont="1" applyFill="1" applyBorder="1"/>
    <xf numFmtId="0" fontId="30" fillId="0" borderId="7" xfId="0" applyFont="1" applyFill="1" applyBorder="1" applyAlignment="1">
      <alignment horizontal="center"/>
    </xf>
    <xf numFmtId="3" fontId="30" fillId="0" borderId="7" xfId="0" applyNumberFormat="1" applyFont="1" applyFill="1" applyBorder="1"/>
    <xf numFmtId="0" fontId="30" fillId="5" borderId="6" xfId="0" applyFont="1" applyFill="1" applyBorder="1" applyAlignment="1">
      <alignment horizontal="center"/>
    </xf>
    <xf numFmtId="190" fontId="30" fillId="0" borderId="7" xfId="0" applyNumberFormat="1" applyFont="1" applyFill="1" applyBorder="1"/>
    <xf numFmtId="0" fontId="32" fillId="2" borderId="7" xfId="0" applyFont="1" applyFill="1" applyBorder="1"/>
    <xf numFmtId="0" fontId="32" fillId="2" borderId="7" xfId="0" applyFont="1" applyFill="1" applyBorder="1" applyAlignment="1">
      <alignment horizontal="center"/>
    </xf>
    <xf numFmtId="190" fontId="32" fillId="2" borderId="7" xfId="0" applyNumberFormat="1" applyFont="1" applyFill="1" applyBorder="1"/>
    <xf numFmtId="189" fontId="32" fillId="2" borderId="3" xfId="5" applyNumberFormat="1" applyFont="1" applyFill="1" applyBorder="1"/>
    <xf numFmtId="3" fontId="30" fillId="5" borderId="7" xfId="0" applyNumberFormat="1" applyFont="1" applyFill="1" applyBorder="1"/>
    <xf numFmtId="189" fontId="33" fillId="0" borderId="3" xfId="5" applyNumberFormat="1" applyFont="1" applyFill="1" applyBorder="1"/>
    <xf numFmtId="189" fontId="30" fillId="0" borderId="3" xfId="5" applyNumberFormat="1" applyFont="1" applyFill="1" applyBorder="1"/>
    <xf numFmtId="0" fontId="30" fillId="2" borderId="7" xfId="0" applyFont="1" applyFill="1" applyBorder="1"/>
    <xf numFmtId="0" fontId="30" fillId="2" borderId="7" xfId="0" applyFont="1" applyFill="1" applyBorder="1" applyAlignment="1">
      <alignment horizontal="center"/>
    </xf>
    <xf numFmtId="190" fontId="30" fillId="2" borderId="7" xfId="0" applyNumberFormat="1" applyFont="1" applyFill="1" applyBorder="1"/>
    <xf numFmtId="189" fontId="30" fillId="2" borderId="3" xfId="5" applyNumberFormat="1" applyFont="1" applyFill="1" applyBorder="1"/>
    <xf numFmtId="190" fontId="30" fillId="0" borderId="6" xfId="0" applyNumberFormat="1" applyFont="1" applyFill="1" applyBorder="1"/>
    <xf numFmtId="189" fontId="30" fillId="0" borderId="29" xfId="5" applyNumberFormat="1" applyFont="1" applyFill="1" applyBorder="1"/>
    <xf numFmtId="3" fontId="30" fillId="2" borderId="7" xfId="0" applyNumberFormat="1" applyFont="1" applyFill="1" applyBorder="1" applyAlignment="1">
      <alignment horizontal="left"/>
    </xf>
    <xf numFmtId="189" fontId="33" fillId="2" borderId="7" xfId="5" applyNumberFormat="1" applyFont="1" applyFill="1" applyBorder="1"/>
    <xf numFmtId="0" fontId="30" fillId="0" borderId="0" xfId="0" applyFont="1" applyFill="1" applyBorder="1" applyAlignment="1">
      <alignment horizontal="center"/>
    </xf>
    <xf numFmtId="189" fontId="30" fillId="0" borderId="0" xfId="5" applyNumberFormat="1" applyFont="1" applyFill="1" applyBorder="1"/>
    <xf numFmtId="0" fontId="31" fillId="0" borderId="0" xfId="0" applyFont="1" applyFill="1" applyBorder="1" applyAlignment="1">
      <alignment horizontal="right" vertical="top"/>
    </xf>
    <xf numFmtId="0" fontId="33" fillId="0" borderId="7" xfId="0" applyFont="1" applyFill="1" applyBorder="1" applyAlignment="1">
      <alignment horizontal="center"/>
    </xf>
    <xf numFmtId="0" fontId="30" fillId="0" borderId="4" xfId="0" applyFont="1" applyFill="1" applyBorder="1" applyAlignment="1">
      <alignment vertical="center"/>
    </xf>
    <xf numFmtId="49" fontId="11" fillId="0" borderId="0" xfId="0" applyNumberFormat="1" applyFont="1" applyFill="1" applyBorder="1" applyAlignment="1"/>
    <xf numFmtId="49" fontId="33" fillId="0" borderId="4" xfId="0" applyNumberFormat="1" applyFont="1" applyFill="1" applyBorder="1" applyAlignment="1"/>
    <xf numFmtId="49" fontId="33" fillId="5" borderId="4" xfId="0" applyNumberFormat="1" applyFont="1" applyFill="1" applyBorder="1" applyAlignment="1"/>
    <xf numFmtId="49" fontId="30" fillId="0" borderId="4" xfId="0" applyNumberFormat="1" applyFont="1" applyFill="1" applyBorder="1" applyAlignment="1"/>
    <xf numFmtId="49" fontId="33" fillId="5" borderId="26" xfId="0" applyNumberFormat="1" applyFont="1" applyFill="1" applyBorder="1" applyAlignment="1"/>
    <xf numFmtId="49" fontId="33" fillId="5" borderId="4" xfId="0" applyNumberFormat="1" applyFont="1" applyFill="1" applyBorder="1" applyAlignment="1">
      <alignment wrapText="1"/>
    </xf>
    <xf numFmtId="49" fontId="32" fillId="2" borderId="4" xfId="0" applyNumberFormat="1" applyFont="1" applyFill="1" applyBorder="1" applyAlignment="1"/>
    <xf numFmtId="0" fontId="30" fillId="0" borderId="4" xfId="0" applyFont="1" applyFill="1" applyBorder="1" applyAlignment="1">
      <alignment wrapText="1"/>
    </xf>
    <xf numFmtId="49" fontId="30" fillId="0" borderId="4" xfId="0" applyNumberFormat="1" applyFont="1" applyFill="1" applyBorder="1" applyAlignment="1">
      <alignment vertical="top" wrapText="1"/>
    </xf>
    <xf numFmtId="49" fontId="30" fillId="0" borderId="4" xfId="0" applyNumberFormat="1" applyFont="1" applyFill="1" applyBorder="1" applyAlignment="1">
      <alignment wrapText="1"/>
    </xf>
    <xf numFmtId="49" fontId="30" fillId="2" borderId="4" xfId="0" applyNumberFormat="1" applyFont="1" applyFill="1" applyBorder="1" applyAlignment="1"/>
    <xf numFmtId="49" fontId="30" fillId="0" borderId="26" xfId="0" applyNumberFormat="1" applyFont="1" applyFill="1" applyBorder="1" applyAlignment="1">
      <alignment wrapText="1"/>
    </xf>
    <xf numFmtId="49" fontId="33" fillId="2" borderId="4" xfId="0" applyNumberFormat="1" applyFont="1" applyFill="1" applyBorder="1" applyAlignment="1">
      <alignment wrapText="1"/>
    </xf>
    <xf numFmtId="49" fontId="33" fillId="2" borderId="4" xfId="0" applyNumberFormat="1" applyFont="1" applyFill="1" applyBorder="1" applyAlignment="1"/>
    <xf numFmtId="0" fontId="34" fillId="0" borderId="26" xfId="0" applyFont="1" applyFill="1" applyBorder="1" applyAlignment="1"/>
    <xf numFmtId="49" fontId="31" fillId="0" borderId="0" xfId="0" applyNumberFormat="1" applyFont="1" applyFill="1" applyBorder="1" applyAlignment="1"/>
    <xf numFmtId="49" fontId="30" fillId="0" borderId="0" xfId="0" applyNumberFormat="1" applyFont="1" applyFill="1" applyBorder="1" applyAlignment="1"/>
    <xf numFmtId="0" fontId="33" fillId="2" borderId="28" xfId="0" applyFont="1" applyFill="1" applyBorder="1" applyAlignment="1">
      <alignment vertical="top" wrapText="1"/>
    </xf>
    <xf numFmtId="3" fontId="11" fillId="0" borderId="0" xfId="0" applyNumberFormat="1" applyFont="1" applyFill="1" applyBorder="1"/>
    <xf numFmtId="189" fontId="4" fillId="0" borderId="7" xfId="5" applyNumberFormat="1" applyFont="1" applyFill="1" applyBorder="1"/>
    <xf numFmtId="189" fontId="11" fillId="0" borderId="7" xfId="5" applyNumberFormat="1" applyFont="1" applyFill="1" applyBorder="1"/>
    <xf numFmtId="0" fontId="11" fillId="2" borderId="7" xfId="0" applyFont="1" applyFill="1" applyBorder="1" applyAlignment="1">
      <alignment horizontal="center"/>
    </xf>
    <xf numFmtId="3" fontId="11" fillId="2" borderId="7" xfId="0" applyNumberFormat="1" applyFont="1" applyFill="1" applyBorder="1"/>
    <xf numFmtId="189" fontId="4" fillId="2" borderId="7" xfId="5" applyNumberFormat="1" applyFont="1" applyFill="1" applyBorder="1"/>
    <xf numFmtId="189" fontId="4" fillId="2" borderId="3" xfId="5" applyNumberFormat="1" applyFont="1" applyFill="1" applyBorder="1"/>
    <xf numFmtId="0" fontId="11" fillId="6" borderId="7" xfId="0" applyFont="1" applyFill="1" applyBorder="1"/>
    <xf numFmtId="0" fontId="11" fillId="6" borderId="7" xfId="0" applyFont="1" applyFill="1" applyBorder="1" applyAlignment="1">
      <alignment horizontal="center"/>
    </xf>
    <xf numFmtId="3" fontId="11" fillId="6" borderId="7" xfId="0" applyNumberFormat="1" applyFont="1" applyFill="1" applyBorder="1"/>
    <xf numFmtId="189" fontId="26" fillId="6" borderId="3" xfId="5" applyNumberFormat="1" applyFont="1" applyFill="1" applyBorder="1"/>
    <xf numFmtId="0" fontId="11" fillId="0" borderId="7" xfId="0" applyFont="1" applyFill="1" applyBorder="1" applyAlignment="1">
      <alignment horizontal="center" vertical="center"/>
    </xf>
    <xf numFmtId="3" fontId="11" fillId="0" borderId="7" xfId="5" applyNumberFormat="1" applyFont="1" applyFill="1" applyBorder="1" applyAlignment="1">
      <alignment horizontal="center"/>
    </xf>
    <xf numFmtId="189" fontId="11" fillId="0" borderId="3" xfId="5" applyNumberFormat="1" applyFont="1" applyFill="1" applyBorder="1"/>
    <xf numFmtId="0" fontId="11" fillId="6" borderId="6" xfId="0" applyFont="1" applyFill="1" applyBorder="1" applyAlignment="1">
      <alignment horizontal="center"/>
    </xf>
    <xf numFmtId="0" fontId="11" fillId="0" borderId="4" xfId="0" applyFont="1" applyFill="1" applyBorder="1"/>
    <xf numFmtId="3" fontId="11" fillId="0" borderId="7" xfId="0" applyNumberFormat="1" applyFont="1" applyFill="1" applyBorder="1"/>
    <xf numFmtId="189" fontId="9" fillId="6" borderId="7" xfId="5" applyNumberFormat="1" applyFont="1" applyFill="1" applyBorder="1"/>
    <xf numFmtId="189" fontId="26" fillId="6" borderId="7" xfId="5" applyNumberFormat="1" applyFont="1" applyFill="1" applyBorder="1"/>
    <xf numFmtId="3" fontId="11" fillId="0" borderId="7" xfId="0" applyNumberFormat="1" applyFont="1" applyFill="1" applyBorder="1" applyAlignment="1">
      <alignment horizontal="left"/>
    </xf>
    <xf numFmtId="3" fontId="11" fillId="6" borderId="7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 indent="2"/>
    </xf>
    <xf numFmtId="0" fontId="4" fillId="6" borderId="0" xfId="0" applyFont="1" applyFill="1" applyBorder="1" applyAlignment="1">
      <alignment wrapText="1"/>
    </xf>
    <xf numFmtId="0" fontId="11" fillId="0" borderId="4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 horizontal="center" vertical="top"/>
    </xf>
    <xf numFmtId="3" fontId="11" fillId="0" borderId="7" xfId="0" applyNumberFormat="1" applyFont="1" applyFill="1" applyBorder="1" applyAlignment="1">
      <alignment vertical="top"/>
    </xf>
    <xf numFmtId="0" fontId="35" fillId="0" borderId="4" xfId="0" applyFont="1" applyFill="1" applyBorder="1"/>
    <xf numFmtId="0" fontId="11" fillId="0" borderId="4" xfId="0" applyFont="1" applyFill="1" applyBorder="1" applyAlignment="1">
      <alignment vertical="center"/>
    </xf>
    <xf numFmtId="49" fontId="4" fillId="6" borderId="4" xfId="0" applyNumberFormat="1" applyFont="1" applyFill="1" applyBorder="1" applyAlignment="1">
      <alignment horizontal="left" indent="2"/>
    </xf>
    <xf numFmtId="0" fontId="4" fillId="0" borderId="5" xfId="0" applyFont="1" applyFill="1" applyBorder="1" applyAlignment="1"/>
    <xf numFmtId="189" fontId="3" fillId="0" borderId="6" xfId="5" applyNumberFormat="1" applyFont="1" applyFill="1" applyBorder="1"/>
    <xf numFmtId="189" fontId="5" fillId="5" borderId="7" xfId="5" applyNumberFormat="1" applyFont="1" applyFill="1" applyBorder="1"/>
    <xf numFmtId="189" fontId="11" fillId="0" borderId="0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left" wrapText="1"/>
    </xf>
    <xf numFmtId="0" fontId="37" fillId="5" borderId="7" xfId="0" applyFont="1" applyFill="1" applyBorder="1"/>
    <xf numFmtId="49" fontId="5" fillId="5" borderId="4" xfId="0" applyNumberFormat="1" applyFont="1" applyFill="1" applyBorder="1" applyAlignment="1">
      <alignment horizontal="left" wrapText="1" indent="2"/>
    </xf>
    <xf numFmtId="0" fontId="3" fillId="0" borderId="4" xfId="0" quotePrefix="1" applyFont="1" applyFill="1" applyBorder="1" applyAlignment="1">
      <alignment vertical="center" wrapText="1"/>
    </xf>
    <xf numFmtId="49" fontId="36" fillId="5" borderId="4" xfId="0" applyNumberFormat="1" applyFont="1" applyFill="1" applyBorder="1"/>
    <xf numFmtId="49" fontId="29" fillId="0" borderId="4" xfId="0" applyNumberFormat="1" applyFont="1" applyFill="1" applyBorder="1" applyAlignment="1">
      <alignment vertical="center"/>
    </xf>
    <xf numFmtId="49" fontId="29" fillId="0" borderId="26" xfId="0" applyNumberFormat="1" applyFont="1" applyFill="1" applyBorder="1" applyAlignment="1">
      <alignment vertical="center"/>
    </xf>
    <xf numFmtId="49" fontId="29" fillId="0" borderId="4" xfId="0" quotePrefix="1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/>
    <xf numFmtId="49" fontId="3" fillId="0" borderId="4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/>
    <xf numFmtId="49" fontId="11" fillId="0" borderId="4" xfId="0" applyNumberFormat="1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 horizontal="left" indent="2"/>
    </xf>
    <xf numFmtId="0" fontId="4" fillId="6" borderId="4" xfId="0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left" wrapText="1" indent="2"/>
    </xf>
    <xf numFmtId="49" fontId="11" fillId="0" borderId="4" xfId="0" applyNumberFormat="1" applyFont="1" applyFill="1" applyBorder="1" applyAlignment="1">
      <alignment horizontal="left" vertical="top" wrapText="1" indent="2"/>
    </xf>
    <xf numFmtId="49" fontId="4" fillId="6" borderId="4" xfId="0" applyNumberFormat="1" applyFont="1" applyFill="1" applyBorder="1" applyAlignment="1">
      <alignment horizontal="left" wrapText="1" indent="2"/>
    </xf>
    <xf numFmtId="0" fontId="8" fillId="0" borderId="0" xfId="2" applyFont="1" applyFill="1" applyBorder="1" applyAlignment="1">
      <alignment horizontal="center" wrapText="1"/>
    </xf>
    <xf numFmtId="0" fontId="4" fillId="2" borderId="12" xfId="2" applyFont="1" applyFill="1" applyBorder="1" applyAlignment="1">
      <alignment horizontal="center"/>
    </xf>
    <xf numFmtId="3" fontId="40" fillId="0" borderId="12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left"/>
    </xf>
    <xf numFmtId="3" fontId="21" fillId="0" borderId="13" xfId="0" applyNumberFormat="1" applyFont="1" applyFill="1" applyBorder="1" applyAlignment="1">
      <alignment wrapText="1"/>
    </xf>
    <xf numFmtId="0" fontId="11" fillId="0" borderId="31" xfId="0" applyFont="1" applyFill="1" applyBorder="1" applyAlignment="1"/>
    <xf numFmtId="3" fontId="41" fillId="0" borderId="12" xfId="0" applyNumberFormat="1" applyFont="1" applyFill="1" applyBorder="1" applyAlignment="1">
      <alignment wrapText="1"/>
    </xf>
    <xf numFmtId="0" fontId="11" fillId="0" borderId="31" xfId="0" applyFont="1" applyFill="1" applyBorder="1" applyAlignment="1">
      <alignment horizontal="left" vertical="top"/>
    </xf>
    <xf numFmtId="3" fontId="21" fillId="0" borderId="32" xfId="0" applyNumberFormat="1" applyFont="1" applyFill="1" applyBorder="1" applyAlignment="1">
      <alignment wrapText="1"/>
    </xf>
    <xf numFmtId="3" fontId="4" fillId="0" borderId="33" xfId="0" applyNumberFormat="1" applyFont="1" applyFill="1" applyBorder="1" applyAlignment="1">
      <alignment horizontal="right"/>
    </xf>
    <xf numFmtId="188" fontId="40" fillId="0" borderId="34" xfId="0" applyNumberFormat="1" applyFont="1" applyFill="1" applyBorder="1" applyAlignment="1">
      <alignment wrapText="1"/>
    </xf>
    <xf numFmtId="3" fontId="21" fillId="0" borderId="20" xfId="0" applyNumberFormat="1" applyFont="1" applyFill="1" applyBorder="1" applyAlignment="1">
      <alignment horizontal="right" vertical="top" wrapText="1"/>
    </xf>
    <xf numFmtId="0" fontId="11" fillId="0" borderId="11" xfId="2" applyFont="1" applyFill="1" applyBorder="1" applyAlignment="1">
      <alignment vertical="top"/>
    </xf>
    <xf numFmtId="3" fontId="40" fillId="2" borderId="12" xfId="3" applyNumberFormat="1" applyFont="1" applyFill="1" applyBorder="1" applyAlignment="1">
      <alignment horizontal="right"/>
    </xf>
    <xf numFmtId="0" fontId="11" fillId="0" borderId="21" xfId="2" applyFont="1" applyFill="1" applyBorder="1" applyAlignment="1">
      <alignment vertical="top"/>
    </xf>
    <xf numFmtId="0" fontId="4" fillId="2" borderId="12" xfId="2" applyFont="1" applyFill="1" applyBorder="1" applyAlignment="1">
      <alignment horizontal="center" wrapText="1"/>
    </xf>
    <xf numFmtId="3" fontId="40" fillId="2" borderId="12" xfId="0" applyNumberFormat="1" applyFont="1" applyFill="1" applyBorder="1" applyAlignment="1">
      <alignment horizontal="right" vertical="top" wrapText="1"/>
    </xf>
    <xf numFmtId="0" fontId="11" fillId="0" borderId="0" xfId="2" applyFont="1" applyFill="1" applyBorder="1" applyAlignment="1">
      <alignment wrapText="1"/>
    </xf>
    <xf numFmtId="3" fontId="40" fillId="2" borderId="12" xfId="0" applyNumberFormat="1" applyFont="1" applyFill="1" applyBorder="1" applyAlignment="1">
      <alignment horizontal="right"/>
    </xf>
    <xf numFmtId="0" fontId="8" fillId="0" borderId="7" xfId="2" applyFont="1" applyFill="1" applyBorder="1" applyAlignment="1">
      <alignment horizontal="center"/>
    </xf>
    <xf numFmtId="0" fontId="24" fillId="0" borderId="7" xfId="2" applyFont="1" applyFill="1" applyBorder="1" applyAlignment="1">
      <alignment horizontal="right"/>
    </xf>
    <xf numFmtId="4" fontId="42" fillId="0" borderId="7" xfId="2" applyNumberFormat="1" applyFont="1" applyFill="1" applyBorder="1" applyAlignment="1"/>
    <xf numFmtId="0" fontId="44" fillId="0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wrapText="1"/>
    </xf>
    <xf numFmtId="188" fontId="4" fillId="0" borderId="34" xfId="0" applyNumberFormat="1" applyFont="1" applyFill="1" applyBorder="1" applyAlignment="1">
      <alignment wrapText="1"/>
    </xf>
    <xf numFmtId="3" fontId="4" fillId="2" borderId="12" xfId="3" applyNumberFormat="1" applyFont="1" applyFill="1" applyBorder="1" applyAlignment="1">
      <alignment horizontal="right"/>
    </xf>
    <xf numFmtId="3" fontId="19" fillId="2" borderId="12" xfId="0" applyNumberFormat="1" applyFont="1" applyFill="1" applyBorder="1" applyAlignment="1">
      <alignment horizontal="right" vertical="top" wrapText="1"/>
    </xf>
    <xf numFmtId="3" fontId="19" fillId="2" borderId="12" xfId="0" applyNumberFormat="1" applyFont="1" applyFill="1" applyBorder="1" applyAlignment="1">
      <alignment horizontal="right"/>
    </xf>
    <xf numFmtId="4" fontId="8" fillId="0" borderId="7" xfId="2" applyNumberFormat="1" applyFont="1" applyFill="1" applyBorder="1" applyAlignment="1"/>
    <xf numFmtId="0" fontId="8" fillId="2" borderId="10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3" fontId="8" fillId="2" borderId="12" xfId="3" applyNumberFormat="1" applyFont="1" applyFill="1" applyBorder="1" applyAlignment="1">
      <alignment horizontal="center"/>
    </xf>
    <xf numFmtId="0" fontId="4" fillId="0" borderId="0" xfId="2" applyFont="1" applyFill="1" applyBorder="1"/>
    <xf numFmtId="0" fontId="8" fillId="0" borderId="13" xfId="2" applyFont="1" applyFill="1" applyBorder="1" applyAlignment="1">
      <alignment horizontal="center" vertical="top" wrapText="1"/>
    </xf>
    <xf numFmtId="0" fontId="45" fillId="0" borderId="14" xfId="0" applyFont="1" applyFill="1" applyBorder="1"/>
    <xf numFmtId="3" fontId="21" fillId="0" borderId="14" xfId="0" applyNumberFormat="1" applyFont="1" applyFill="1" applyBorder="1" applyAlignment="1">
      <alignment vertical="center"/>
    </xf>
    <xf numFmtId="3" fontId="45" fillId="0" borderId="16" xfId="0" applyNumberFormat="1" applyFont="1" applyFill="1" applyBorder="1" applyAlignment="1">
      <alignment vertical="center"/>
    </xf>
    <xf numFmtId="0" fontId="8" fillId="0" borderId="12" xfId="2" applyFont="1" applyFill="1" applyBorder="1" applyAlignment="1">
      <alignment horizontal="center" vertical="top" wrapText="1"/>
    </xf>
    <xf numFmtId="0" fontId="8" fillId="2" borderId="12" xfId="2" applyFont="1" applyFill="1" applyBorder="1" applyAlignment="1">
      <alignment horizontal="left" vertical="top" wrapText="1"/>
    </xf>
    <xf numFmtId="3" fontId="42" fillId="0" borderId="12" xfId="2" applyNumberFormat="1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center"/>
    </xf>
    <xf numFmtId="3" fontId="47" fillId="0" borderId="13" xfId="2" applyNumberFormat="1" applyFont="1" applyFill="1" applyBorder="1" applyAlignment="1">
      <alignment horizontal="right" vertical="top" wrapText="1"/>
    </xf>
    <xf numFmtId="0" fontId="8" fillId="0" borderId="14" xfId="2" applyFont="1" applyFill="1" applyBorder="1" applyAlignment="1">
      <alignment horizontal="center" vertical="top" wrapText="1"/>
    </xf>
    <xf numFmtId="3" fontId="47" fillId="0" borderId="14" xfId="2" applyNumberFormat="1" applyFont="1" applyFill="1" applyBorder="1" applyAlignment="1">
      <alignment horizontal="right" vertical="top" wrapText="1"/>
    </xf>
    <xf numFmtId="0" fontId="11" fillId="0" borderId="8" xfId="8" applyFont="1" applyFill="1" applyBorder="1" applyAlignment="1">
      <alignment horizontal="left" vertical="top" wrapText="1"/>
    </xf>
    <xf numFmtId="0" fontId="45" fillId="0" borderId="16" xfId="0" applyFont="1" applyFill="1" applyBorder="1"/>
    <xf numFmtId="3" fontId="21" fillId="0" borderId="16" xfId="0" applyNumberFormat="1" applyFont="1" applyFill="1" applyBorder="1" applyAlignment="1">
      <alignment vertical="center"/>
    </xf>
    <xf numFmtId="0" fontId="8" fillId="0" borderId="20" xfId="2" applyFont="1" applyFill="1" applyBorder="1" applyAlignment="1">
      <alignment horizontal="center" vertical="top" wrapText="1"/>
    </xf>
    <xf numFmtId="0" fontId="8" fillId="0" borderId="20" xfId="2" applyFont="1" applyFill="1" applyBorder="1" applyAlignment="1">
      <alignment horizontal="left" vertical="top" wrapText="1"/>
    </xf>
    <xf numFmtId="3" fontId="42" fillId="0" borderId="20" xfId="2" applyNumberFormat="1" applyFont="1" applyFill="1" applyBorder="1" applyAlignment="1">
      <alignment horizontal="right" vertical="top" wrapText="1"/>
    </xf>
    <xf numFmtId="3" fontId="11" fillId="0" borderId="0" xfId="2" applyNumberFormat="1" applyFont="1" applyFill="1" applyBorder="1" applyAlignment="1">
      <alignment vertical="top" wrapText="1"/>
    </xf>
    <xf numFmtId="0" fontId="8" fillId="0" borderId="32" xfId="2" applyFont="1" applyFill="1" applyBorder="1" applyAlignment="1">
      <alignment horizontal="center" vertical="top" wrapText="1"/>
    </xf>
    <xf numFmtId="0" fontId="8" fillId="0" borderId="32" xfId="2" applyFont="1" applyFill="1" applyBorder="1" applyAlignment="1">
      <alignment horizontal="left" vertical="top" wrapText="1"/>
    </xf>
    <xf numFmtId="3" fontId="8" fillId="0" borderId="32" xfId="2" applyNumberFormat="1" applyFont="1" applyFill="1" applyBorder="1" applyAlignment="1">
      <alignment horizontal="center" vertical="top" wrapText="1"/>
    </xf>
    <xf numFmtId="0" fontId="46" fillId="0" borderId="13" xfId="2" applyFont="1" applyFill="1" applyBorder="1" applyAlignment="1">
      <alignment horizontal="center" vertical="top" wrapText="1"/>
    </xf>
    <xf numFmtId="0" fontId="11" fillId="0" borderId="13" xfId="2" applyFont="1" applyFill="1" applyBorder="1" applyAlignment="1">
      <alignment horizontal="left" vertical="top" wrapText="1"/>
    </xf>
    <xf numFmtId="3" fontId="11" fillId="0" borderId="13" xfId="2" applyNumberFormat="1" applyFont="1" applyFill="1" applyBorder="1" applyAlignment="1">
      <alignment horizontal="right" vertical="top" wrapText="1"/>
    </xf>
    <xf numFmtId="0" fontId="46" fillId="0" borderId="14" xfId="2" applyFont="1" applyFill="1" applyBorder="1" applyAlignment="1">
      <alignment horizontal="center" vertical="top" wrapText="1"/>
    </xf>
    <xf numFmtId="3" fontId="11" fillId="0" borderId="14" xfId="2" applyNumberFormat="1" applyFont="1" applyFill="1" applyBorder="1" applyAlignment="1">
      <alignment horizontal="right" vertical="top" wrapText="1"/>
    </xf>
    <xf numFmtId="0" fontId="46" fillId="0" borderId="16" xfId="2" applyFont="1" applyFill="1" applyBorder="1" applyAlignment="1">
      <alignment horizontal="center" vertical="top" wrapText="1"/>
    </xf>
    <xf numFmtId="0" fontId="11" fillId="0" borderId="16" xfId="2" applyFont="1" applyFill="1" applyBorder="1" applyAlignment="1">
      <alignment horizontal="left" vertical="top" wrapText="1"/>
    </xf>
    <xf numFmtId="3" fontId="11" fillId="0" borderId="16" xfId="2" applyNumberFormat="1" applyFont="1" applyFill="1" applyBorder="1" applyAlignment="1">
      <alignment horizontal="right" vertical="top" wrapText="1"/>
    </xf>
    <xf numFmtId="0" fontId="8" fillId="0" borderId="16" xfId="2" applyFont="1" applyFill="1" applyBorder="1" applyAlignment="1">
      <alignment horizontal="center" vertical="top" wrapText="1"/>
    </xf>
    <xf numFmtId="3" fontId="47" fillId="0" borderId="16" xfId="2" applyNumberFormat="1" applyFont="1" applyFill="1" applyBorder="1" applyAlignment="1">
      <alignment horizontal="right" vertical="top" wrapText="1"/>
    </xf>
    <xf numFmtId="0" fontId="49" fillId="0" borderId="12" xfId="2" applyFont="1" applyFill="1" applyBorder="1" applyAlignment="1">
      <alignment horizontal="left" vertical="top" wrapText="1"/>
    </xf>
    <xf numFmtId="3" fontId="48" fillId="0" borderId="12" xfId="2" applyNumberFormat="1" applyFont="1" applyFill="1" applyBorder="1" applyAlignment="1">
      <alignment horizontal="right" vertical="top" wrapText="1"/>
    </xf>
    <xf numFmtId="0" fontId="50" fillId="0" borderId="16" xfId="2" applyFont="1" applyFill="1" applyBorder="1" applyAlignment="1">
      <alignment horizontal="left" vertical="top" wrapText="1"/>
    </xf>
    <xf numFmtId="3" fontId="48" fillId="0" borderId="16" xfId="2" applyNumberFormat="1" applyFont="1" applyFill="1" applyBorder="1" applyAlignment="1">
      <alignment horizontal="right" vertical="top" wrapText="1"/>
    </xf>
    <xf numFmtId="0" fontId="50" fillId="0" borderId="20" xfId="2" applyFont="1" applyFill="1" applyBorder="1" applyAlignment="1">
      <alignment horizontal="left" vertical="top" wrapText="1"/>
    </xf>
    <xf numFmtId="3" fontId="48" fillId="0" borderId="20" xfId="2" applyNumberFormat="1" applyFont="1" applyFill="1" applyBorder="1" applyAlignment="1">
      <alignment horizontal="right" vertical="top" wrapText="1"/>
    </xf>
    <xf numFmtId="0" fontId="50" fillId="0" borderId="32" xfId="2" applyFont="1" applyFill="1" applyBorder="1" applyAlignment="1">
      <alignment horizontal="left" vertical="top" wrapText="1"/>
    </xf>
    <xf numFmtId="3" fontId="47" fillId="0" borderId="32" xfId="2" applyNumberFormat="1" applyFont="1" applyFill="1" applyBorder="1" applyAlignment="1">
      <alignment horizontal="right" vertical="top" wrapText="1"/>
    </xf>
    <xf numFmtId="0" fontId="50" fillId="0" borderId="12" xfId="2" applyFont="1" applyFill="1" applyBorder="1" applyAlignment="1">
      <alignment horizontal="left" vertical="top" wrapText="1"/>
    </xf>
    <xf numFmtId="0" fontId="50" fillId="0" borderId="10" xfId="2" applyFont="1" applyFill="1" applyBorder="1" applyAlignment="1">
      <alignment horizontal="left" vertical="top" wrapText="1"/>
    </xf>
    <xf numFmtId="0" fontId="50" fillId="0" borderId="32" xfId="2" applyFont="1" applyFill="1" applyBorder="1" applyAlignment="1">
      <alignment horizontal="center" vertical="top" wrapText="1"/>
    </xf>
    <xf numFmtId="0" fontId="52" fillId="0" borderId="35" xfId="9" applyFont="1" applyFill="1" applyBorder="1" applyAlignment="1">
      <alignment vertical="top"/>
    </xf>
    <xf numFmtId="3" fontId="53" fillId="0" borderId="32" xfId="2" applyNumberFormat="1" applyFont="1" applyFill="1" applyBorder="1" applyAlignment="1">
      <alignment horizontal="right" vertical="top" wrapText="1"/>
    </xf>
    <xf numFmtId="0" fontId="53" fillId="0" borderId="0" xfId="2" applyFont="1" applyFill="1" applyBorder="1" applyAlignment="1">
      <alignment vertical="top" wrapText="1"/>
    </xf>
    <xf numFmtId="3" fontId="53" fillId="0" borderId="0" xfId="2" applyNumberFormat="1" applyFont="1" applyFill="1" applyBorder="1" applyAlignment="1">
      <alignment vertical="top" wrapText="1"/>
    </xf>
    <xf numFmtId="0" fontId="50" fillId="0" borderId="13" xfId="2" applyFont="1" applyFill="1" applyBorder="1" applyAlignment="1">
      <alignment horizontal="center" vertical="top" wrapText="1"/>
    </xf>
    <xf numFmtId="0" fontId="54" fillId="0" borderId="0" xfId="9" applyFont="1" applyFill="1" applyBorder="1" applyAlignment="1">
      <alignment vertical="top"/>
    </xf>
    <xf numFmtId="3" fontId="53" fillId="0" borderId="13" xfId="2" applyNumberFormat="1" applyFont="1" applyFill="1" applyBorder="1" applyAlignment="1">
      <alignment horizontal="right" vertical="top" wrapText="1"/>
    </xf>
    <xf numFmtId="0" fontId="50" fillId="0" borderId="14" xfId="2" applyFont="1" applyFill="1" applyBorder="1" applyAlignment="1">
      <alignment horizontal="center" vertical="top" wrapText="1"/>
    </xf>
    <xf numFmtId="3" fontId="53" fillId="0" borderId="14" xfId="2" applyNumberFormat="1" applyFont="1" applyFill="1" applyBorder="1" applyAlignment="1">
      <alignment horizontal="right" vertical="top" wrapText="1"/>
    </xf>
    <xf numFmtId="0" fontId="54" fillId="0" borderId="0" xfId="9" applyFont="1" applyFill="1" applyBorder="1" applyAlignment="1">
      <alignment vertical="top" wrapText="1"/>
    </xf>
    <xf numFmtId="0" fontId="55" fillId="0" borderId="0" xfId="9" applyFont="1" applyFill="1" applyBorder="1" applyAlignment="1">
      <alignment vertical="top"/>
    </xf>
    <xf numFmtId="0" fontId="8" fillId="0" borderId="12" xfId="2" applyFont="1" applyFill="1" applyBorder="1" applyAlignment="1">
      <alignment horizontal="left" vertical="top" wrapText="1"/>
    </xf>
    <xf numFmtId="0" fontId="11" fillId="0" borderId="13" xfId="2" applyFont="1" applyFill="1" applyBorder="1" applyAlignment="1">
      <alignment horizontal="center" vertical="top" wrapText="1"/>
    </xf>
    <xf numFmtId="3" fontId="11" fillId="0" borderId="13" xfId="2" applyNumberFormat="1" applyFont="1" applyFill="1" applyBorder="1" applyAlignment="1">
      <alignment horizontal="center" vertical="top" wrapText="1"/>
    </xf>
    <xf numFmtId="0" fontId="4" fillId="2" borderId="36" xfId="2" applyFont="1" applyFill="1" applyBorder="1" applyAlignment="1">
      <alignment horizontal="center"/>
    </xf>
    <xf numFmtId="0" fontId="4" fillId="2" borderId="37" xfId="2" applyFont="1" applyFill="1" applyBorder="1" applyAlignment="1">
      <alignment horizontal="right"/>
    </xf>
    <xf numFmtId="3" fontId="8" fillId="2" borderId="38" xfId="2" applyNumberFormat="1" applyFont="1" applyFill="1" applyBorder="1" applyAlignment="1"/>
    <xf numFmtId="0" fontId="4" fillId="2" borderId="15" xfId="2" applyFont="1" applyFill="1" applyBorder="1" applyAlignment="1">
      <alignment horizontal="center"/>
    </xf>
    <xf numFmtId="0" fontId="18" fillId="2" borderId="39" xfId="2" applyFont="1" applyFill="1" applyBorder="1" applyAlignment="1">
      <alignment horizontal="right"/>
    </xf>
    <xf numFmtId="0" fontId="18" fillId="2" borderId="40" xfId="2" applyFont="1" applyFill="1" applyBorder="1" applyAlignment="1"/>
    <xf numFmtId="0" fontId="4" fillId="2" borderId="41" xfId="2" applyFont="1" applyFill="1" applyBorder="1" applyAlignment="1">
      <alignment horizontal="center"/>
    </xf>
    <xf numFmtId="0" fontId="11" fillId="2" borderId="42" xfId="2" applyFont="1" applyFill="1" applyBorder="1"/>
    <xf numFmtId="0" fontId="11" fillId="2" borderId="43" xfId="2" applyFont="1" applyFill="1" applyBorder="1" applyAlignment="1"/>
    <xf numFmtId="191" fontId="11" fillId="0" borderId="0" xfId="2" applyNumberFormat="1" applyFont="1" applyFill="1" applyBorder="1" applyAlignment="1"/>
    <xf numFmtId="0" fontId="11" fillId="0" borderId="0" xfId="2" applyFont="1" applyFill="1" applyBorder="1" applyAlignment="1"/>
    <xf numFmtId="0" fontId="11" fillId="0" borderId="31" xfId="0" applyFont="1" applyFill="1" applyBorder="1" applyAlignment="1">
      <alignment horizontal="left" vertical="top" wrapText="1"/>
    </xf>
    <xf numFmtId="3" fontId="21" fillId="0" borderId="14" xfId="0" applyNumberFormat="1" applyFont="1" applyFill="1" applyBorder="1" applyAlignment="1">
      <alignment vertical="top" wrapText="1"/>
    </xf>
    <xf numFmtId="3" fontId="4" fillId="0" borderId="12" xfId="2" applyNumberFormat="1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3" fontId="21" fillId="0" borderId="17" xfId="0" applyNumberFormat="1" applyFont="1" applyFill="1" applyBorder="1" applyAlignment="1">
      <alignment wrapText="1"/>
    </xf>
    <xf numFmtId="4" fontId="4" fillId="0" borderId="12" xfId="2" applyNumberFormat="1" applyFont="1" applyFill="1" applyBorder="1" applyAlignment="1">
      <alignment vertical="top"/>
    </xf>
    <xf numFmtId="0" fontId="4" fillId="2" borderId="12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/>
    </xf>
    <xf numFmtId="3" fontId="57" fillId="0" borderId="20" xfId="0" applyNumberFormat="1" applyFont="1" applyFill="1" applyBorder="1" applyAlignment="1">
      <alignment wrapText="1"/>
    </xf>
    <xf numFmtId="0" fontId="18" fillId="0" borderId="16" xfId="0" applyFont="1" applyFill="1" applyBorder="1" applyAlignment="1">
      <alignment vertical="center"/>
    </xf>
    <xf numFmtId="3" fontId="57" fillId="0" borderId="14" xfId="0" applyNumberFormat="1" applyFont="1" applyFill="1" applyBorder="1" applyAlignment="1">
      <alignment horizontal="right" vertical="top" wrapText="1"/>
    </xf>
    <xf numFmtId="4" fontId="4" fillId="2" borderId="12" xfId="3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3" fontId="57" fillId="0" borderId="11" xfId="0" applyNumberFormat="1" applyFont="1" applyFill="1" applyBorder="1" applyAlignment="1">
      <alignment wrapText="1"/>
    </xf>
    <xf numFmtId="3" fontId="19" fillId="2" borderId="12" xfId="0" applyNumberFormat="1" applyFont="1" applyFill="1" applyBorder="1" applyAlignment="1">
      <alignment horizontal="right" vertical="top"/>
    </xf>
    <xf numFmtId="0" fontId="18" fillId="0" borderId="20" xfId="2" applyFont="1" applyFill="1" applyBorder="1" applyAlignment="1">
      <alignment horizontal="left" vertical="top" wrapText="1"/>
    </xf>
    <xf numFmtId="3" fontId="57" fillId="2" borderId="14" xfId="0" applyNumberFormat="1" applyFont="1" applyFill="1" applyBorder="1" applyAlignment="1">
      <alignment horizontal="right"/>
    </xf>
    <xf numFmtId="0" fontId="18" fillId="0" borderId="14" xfId="2" applyFont="1" applyFill="1" applyBorder="1" applyAlignment="1">
      <alignment horizontal="left" vertical="top" wrapText="1"/>
    </xf>
    <xf numFmtId="0" fontId="11" fillId="0" borderId="13" xfId="0" applyFont="1" applyFill="1" applyBorder="1"/>
    <xf numFmtId="3" fontId="21" fillId="2" borderId="14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center" vertical="center"/>
    </xf>
    <xf numFmtId="0" fontId="58" fillId="0" borderId="0" xfId="0" applyFont="1" applyFill="1" applyBorder="1"/>
    <xf numFmtId="188" fontId="58" fillId="0" borderId="0" xfId="5" applyNumberFormat="1" applyFont="1" applyFill="1" applyBorder="1"/>
    <xf numFmtId="0" fontId="9" fillId="0" borderId="31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/>
    </xf>
    <xf numFmtId="0" fontId="4" fillId="0" borderId="12" xfId="2" applyFont="1" applyFill="1" applyBorder="1" applyAlignment="1">
      <alignment horizontal="center" vertical="top" wrapText="1"/>
    </xf>
    <xf numFmtId="0" fontId="5" fillId="0" borderId="0" xfId="7" applyFont="1" applyFill="1" applyBorder="1" applyAlignment="1">
      <alignment horizontal="center"/>
    </xf>
    <xf numFmtId="0" fontId="8" fillId="0" borderId="0" xfId="8" applyFont="1" applyFill="1" applyBorder="1" applyAlignment="1">
      <alignment horizontal="center"/>
    </xf>
    <xf numFmtId="4" fontId="8" fillId="0" borderId="0" xfId="8" applyNumberFormat="1" applyFont="1" applyFill="1" applyBorder="1" applyAlignment="1">
      <alignment horizontal="center"/>
    </xf>
    <xf numFmtId="0" fontId="8" fillId="0" borderId="0" xfId="8" applyFont="1" applyFill="1" applyBorder="1" applyAlignment="1">
      <alignment horizontal="center" vertical="top"/>
    </xf>
    <xf numFmtId="4" fontId="8" fillId="0" borderId="0" xfId="8" applyNumberFormat="1" applyFont="1" applyFill="1" applyBorder="1" applyAlignment="1">
      <alignment vertical="top"/>
    </xf>
    <xf numFmtId="0" fontId="4" fillId="2" borderId="10" xfId="8" applyFont="1" applyFill="1" applyBorder="1" applyAlignment="1">
      <alignment horizontal="center"/>
    </xf>
    <xf numFmtId="0" fontId="3" fillId="0" borderId="0" xfId="7" applyFont="1" applyFill="1" applyBorder="1"/>
    <xf numFmtId="0" fontId="4" fillId="2" borderId="11" xfId="8" applyFont="1" applyFill="1" applyBorder="1" applyAlignment="1">
      <alignment horizontal="center"/>
    </xf>
    <xf numFmtId="0" fontId="4" fillId="2" borderId="11" xfId="8" applyFont="1" applyFill="1" applyBorder="1" applyAlignment="1">
      <alignment horizontal="center" wrapText="1"/>
    </xf>
    <xf numFmtId="4" fontId="4" fillId="2" borderId="11" xfId="3" applyNumberFormat="1" applyFont="1" applyFill="1" applyBorder="1" applyAlignment="1">
      <alignment horizontal="center"/>
    </xf>
    <xf numFmtId="0" fontId="3" fillId="0" borderId="0" xfId="7" applyFont="1" applyFill="1" applyBorder="1" applyAlignment="1">
      <alignment wrapText="1"/>
    </xf>
    <xf numFmtId="0" fontId="4" fillId="2" borderId="12" xfId="8" applyFont="1" applyFill="1" applyBorder="1" applyAlignment="1">
      <alignment horizontal="center"/>
    </xf>
    <xf numFmtId="0" fontId="4" fillId="0" borderId="12" xfId="8" applyFont="1" applyFill="1" applyBorder="1" applyAlignment="1">
      <alignment vertical="top"/>
    </xf>
    <xf numFmtId="189" fontId="40" fillId="2" borderId="12" xfId="3" applyNumberFormat="1" applyFont="1" applyFill="1" applyBorder="1" applyAlignment="1">
      <alignment horizontal="right"/>
    </xf>
    <xf numFmtId="0" fontId="11" fillId="0" borderId="13" xfId="8" applyFont="1" applyFill="1" applyBorder="1" applyAlignment="1">
      <alignment horizontal="center" vertical="top" wrapText="1"/>
    </xf>
    <xf numFmtId="0" fontId="3" fillId="0" borderId="7" xfId="7" applyFont="1" applyFill="1" applyBorder="1" applyAlignment="1"/>
    <xf numFmtId="189" fontId="21" fillId="0" borderId="14" xfId="0" applyNumberFormat="1" applyFont="1" applyFill="1" applyBorder="1" applyAlignment="1">
      <alignment vertical="center"/>
    </xf>
    <xf numFmtId="0" fontId="21" fillId="0" borderId="14" xfId="0" applyFont="1" applyFill="1" applyBorder="1"/>
    <xf numFmtId="189" fontId="21" fillId="0" borderId="45" xfId="0" applyNumberFormat="1" applyFont="1" applyFill="1" applyBorder="1" applyAlignment="1">
      <alignment horizontal="right" vertical="top" wrapText="1"/>
    </xf>
    <xf numFmtId="0" fontId="3" fillId="0" borderId="7" xfId="7" applyFont="1" applyFill="1" applyBorder="1" applyAlignment="1">
      <alignment horizontal="left" vertical="top"/>
    </xf>
    <xf numFmtId="0" fontId="3" fillId="0" borderId="7" xfId="7" applyFont="1" applyFill="1" applyBorder="1" applyAlignment="1">
      <alignment horizontal="left"/>
    </xf>
    <xf numFmtId="4" fontId="40" fillId="2" borderId="12" xfId="3" applyNumberFormat="1" applyFont="1" applyFill="1" applyBorder="1" applyAlignment="1">
      <alignment horizontal="right"/>
    </xf>
    <xf numFmtId="0" fontId="5" fillId="2" borderId="12" xfId="8" applyFont="1" applyFill="1" applyBorder="1" applyAlignment="1">
      <alignment vertical="top"/>
    </xf>
    <xf numFmtId="0" fontId="29" fillId="2" borderId="6" xfId="7" applyFont="1" applyFill="1" applyBorder="1" applyAlignment="1">
      <alignment vertical="center"/>
    </xf>
    <xf numFmtId="0" fontId="3" fillId="2" borderId="7" xfId="8" applyFont="1" applyFill="1" applyBorder="1" applyAlignment="1">
      <alignment horizontal="left" vertical="top" wrapText="1"/>
    </xf>
    <xf numFmtId="0" fontId="3" fillId="0" borderId="7" xfId="8" applyFont="1" applyFill="1" applyBorder="1" applyAlignment="1">
      <alignment horizontal="left" vertical="top"/>
    </xf>
    <xf numFmtId="189" fontId="45" fillId="0" borderId="45" xfId="0" applyNumberFormat="1" applyFont="1" applyFill="1" applyBorder="1" applyAlignment="1">
      <alignment horizontal="right" vertical="top" wrapText="1"/>
    </xf>
    <xf numFmtId="0" fontId="3" fillId="2" borderId="7" xfId="8" applyFont="1" applyFill="1" applyBorder="1" applyAlignment="1">
      <alignment horizontal="left" vertical="top"/>
    </xf>
    <xf numFmtId="0" fontId="29" fillId="0" borderId="7" xfId="7" applyFont="1" applyFill="1" applyBorder="1" applyAlignment="1">
      <alignment vertical="center"/>
    </xf>
    <xf numFmtId="0" fontId="3" fillId="0" borderId="7" xfId="8" applyFont="1" applyFill="1" applyBorder="1" applyAlignment="1">
      <alignment vertical="top"/>
    </xf>
    <xf numFmtId="0" fontId="11" fillId="0" borderId="14" xfId="8" applyFont="1" applyFill="1" applyBorder="1" applyAlignment="1">
      <alignment horizontal="center" vertical="top" wrapText="1"/>
    </xf>
    <xf numFmtId="0" fontId="3" fillId="0" borderId="7" xfId="7" applyFont="1" applyFill="1" applyBorder="1" applyAlignment="1">
      <alignment vertical="center"/>
    </xf>
    <xf numFmtId="0" fontId="3" fillId="0" borderId="7" xfId="7" applyFont="1" applyFill="1" applyBorder="1" applyAlignment="1">
      <alignment wrapText="1"/>
    </xf>
    <xf numFmtId="0" fontId="29" fillId="0" borderId="2" xfId="7" applyFont="1" applyFill="1" applyBorder="1" applyAlignment="1">
      <alignment vertical="center"/>
    </xf>
    <xf numFmtId="189" fontId="21" fillId="0" borderId="16" xfId="0" applyNumberFormat="1" applyFont="1" applyFill="1" applyBorder="1" applyAlignment="1">
      <alignment vertical="center"/>
    </xf>
    <xf numFmtId="0" fontId="5" fillId="2" borderId="46" xfId="8" applyFont="1" applyFill="1" applyBorder="1" applyAlignment="1">
      <alignment vertical="top"/>
    </xf>
    <xf numFmtId="189" fontId="59" fillId="2" borderId="12" xfId="3" applyNumberFormat="1" applyFont="1" applyFill="1" applyBorder="1" applyAlignment="1">
      <alignment horizontal="right"/>
    </xf>
    <xf numFmtId="0" fontId="5" fillId="2" borderId="6" xfId="7" applyFont="1" applyFill="1" applyBorder="1" applyAlignment="1">
      <alignment horizontal="left" vertical="top"/>
    </xf>
    <xf numFmtId="189" fontId="4" fillId="2" borderId="13" xfId="3" applyNumberFormat="1" applyFont="1" applyFill="1" applyBorder="1" applyAlignment="1">
      <alignment horizontal="right"/>
    </xf>
    <xf numFmtId="189" fontId="4" fillId="2" borderId="14" xfId="3" applyNumberFormat="1" applyFont="1" applyFill="1" applyBorder="1" applyAlignment="1">
      <alignment horizontal="right"/>
    </xf>
    <xf numFmtId="0" fontId="5" fillId="0" borderId="7" xfId="7" applyFont="1" applyFill="1" applyBorder="1" applyAlignment="1">
      <alignment vertical="center"/>
    </xf>
    <xf numFmtId="0" fontId="3" fillId="0" borderId="7" xfId="7" applyFont="1" applyFill="1" applyBorder="1"/>
    <xf numFmtId="0" fontId="3" fillId="2" borderId="7" xfId="7" applyFont="1" applyFill="1" applyBorder="1" applyAlignment="1">
      <alignment vertical="center"/>
    </xf>
    <xf numFmtId="0" fontId="29" fillId="2" borderId="7" xfId="7" applyFont="1" applyFill="1" applyBorder="1" applyAlignment="1">
      <alignment vertical="center"/>
    </xf>
    <xf numFmtId="0" fontId="3" fillId="2" borderId="7" xfId="8" applyFont="1" applyFill="1" applyBorder="1" applyAlignment="1">
      <alignment vertical="top"/>
    </xf>
    <xf numFmtId="0" fontId="5" fillId="0" borderId="7" xfId="7" applyFont="1" applyFill="1" applyBorder="1" applyAlignment="1">
      <alignment wrapText="1"/>
    </xf>
    <xf numFmtId="0" fontId="5" fillId="0" borderId="12" xfId="8" applyFont="1" applyFill="1" applyBorder="1" applyAlignment="1">
      <alignment vertical="top"/>
    </xf>
    <xf numFmtId="0" fontId="5" fillId="0" borderId="6" xfId="7" applyFont="1" applyFill="1" applyBorder="1" applyAlignment="1">
      <alignment horizontal="left" vertical="top"/>
    </xf>
    <xf numFmtId="189" fontId="4" fillId="2" borderId="20" xfId="3" applyNumberFormat="1" applyFont="1" applyFill="1" applyBorder="1" applyAlignment="1">
      <alignment horizontal="right"/>
    </xf>
    <xf numFmtId="0" fontId="5" fillId="2" borderId="7" xfId="7" applyFont="1" applyFill="1" applyBorder="1" applyAlignment="1">
      <alignment vertical="center"/>
    </xf>
    <xf numFmtId="0" fontId="5" fillId="0" borderId="6" xfId="8" applyFont="1" applyFill="1" applyBorder="1" applyAlignment="1">
      <alignment vertical="top"/>
    </xf>
    <xf numFmtId="0" fontId="5" fillId="0" borderId="12" xfId="7" applyFont="1" applyFill="1" applyBorder="1" applyAlignment="1">
      <alignment horizontal="left" vertical="top"/>
    </xf>
    <xf numFmtId="0" fontId="5" fillId="0" borderId="6" xfId="8" applyFont="1" applyFill="1" applyBorder="1" applyAlignment="1">
      <alignment horizontal="left" vertical="top"/>
    </xf>
    <xf numFmtId="0" fontId="5" fillId="0" borderId="7" xfId="8" applyFont="1" applyFill="1" applyBorder="1" applyAlignment="1">
      <alignment horizontal="left" vertical="top"/>
    </xf>
    <xf numFmtId="0" fontId="5" fillId="0" borderId="7" xfId="7" applyFont="1" applyFill="1" applyBorder="1" applyAlignment="1"/>
    <xf numFmtId="189" fontId="4" fillId="2" borderId="7" xfId="10" applyNumberFormat="1" applyFont="1" applyFill="1" applyBorder="1" applyAlignment="1">
      <alignment wrapText="1"/>
    </xf>
    <xf numFmtId="0" fontId="4" fillId="2" borderId="36" xfId="8" applyFont="1" applyFill="1" applyBorder="1" applyAlignment="1">
      <alignment horizontal="center"/>
    </xf>
    <xf numFmtId="0" fontId="4" fillId="2" borderId="37" xfId="8" applyFont="1" applyFill="1" applyBorder="1" applyAlignment="1">
      <alignment horizontal="right"/>
    </xf>
    <xf numFmtId="4" fontId="4" fillId="2" borderId="6" xfId="8" applyNumberFormat="1" applyFont="1" applyFill="1" applyBorder="1" applyAlignment="1"/>
    <xf numFmtId="0" fontId="4" fillId="2" borderId="15" xfId="8" applyFont="1" applyFill="1" applyBorder="1" applyAlignment="1">
      <alignment horizontal="center"/>
    </xf>
    <xf numFmtId="0" fontId="18" fillId="2" borderId="39" xfId="8" applyFont="1" applyFill="1" applyBorder="1" applyAlignment="1">
      <alignment horizontal="right"/>
    </xf>
    <xf numFmtId="4" fontId="18" fillId="2" borderId="7" xfId="8" applyNumberFormat="1" applyFont="1" applyFill="1" applyBorder="1" applyAlignment="1"/>
    <xf numFmtId="0" fontId="61" fillId="0" borderId="0" xfId="0" applyFont="1" applyFill="1" applyBorder="1" applyAlignment="1"/>
    <xf numFmtId="3" fontId="3" fillId="0" borderId="0" xfId="7" applyNumberFormat="1" applyFont="1" applyFill="1" applyBorder="1" applyAlignment="1">
      <alignment wrapText="1"/>
    </xf>
    <xf numFmtId="189" fontId="3" fillId="0" borderId="0" xfId="7" applyNumberFormat="1" applyFont="1" applyFill="1" applyBorder="1"/>
    <xf numFmtId="0" fontId="4" fillId="2" borderId="17" xfId="8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 vertical="top"/>
    </xf>
    <xf numFmtId="0" fontId="21" fillId="0" borderId="11" xfId="0" applyFont="1" applyFill="1" applyBorder="1"/>
    <xf numFmtId="0" fontId="11" fillId="0" borderId="14" xfId="0" applyFont="1" applyFill="1" applyBorder="1" applyAlignment="1">
      <alignment wrapText="1"/>
    </xf>
    <xf numFmtId="0" fontId="21" fillId="0" borderId="32" xfId="0" applyFont="1" applyFill="1" applyBorder="1" applyAlignment="1">
      <alignment vertical="center"/>
    </xf>
    <xf numFmtId="0" fontId="46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3" fontId="46" fillId="2" borderId="0" xfId="0" applyNumberFormat="1" applyFont="1" applyFill="1" applyBorder="1" applyAlignment="1">
      <alignment wrapText="1"/>
    </xf>
    <xf numFmtId="0" fontId="46" fillId="0" borderId="7" xfId="0" applyFont="1" applyFill="1" applyBorder="1" applyAlignment="1">
      <alignment horizontal="center" wrapText="1"/>
    </xf>
    <xf numFmtId="0" fontId="3" fillId="5" borderId="7" xfId="7" applyFont="1" applyFill="1" applyBorder="1" applyAlignment="1"/>
    <xf numFmtId="3" fontId="5" fillId="5" borderId="7" xfId="7" applyNumberFormat="1" applyFont="1" applyFill="1" applyBorder="1" applyAlignment="1"/>
    <xf numFmtId="0" fontId="39" fillId="0" borderId="0" xfId="0" applyFont="1" applyFill="1" applyBorder="1" applyAlignment="1"/>
    <xf numFmtId="0" fontId="46" fillId="4" borderId="7" xfId="0" applyFont="1" applyFill="1" applyBorder="1" applyAlignment="1">
      <alignment horizontal="center" wrapText="1"/>
    </xf>
    <xf numFmtId="3" fontId="46" fillId="4" borderId="7" xfId="0" applyNumberFormat="1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top" wrapText="1"/>
    </xf>
    <xf numFmtId="0" fontId="45" fillId="0" borderId="7" xfId="0" applyFont="1" applyFill="1" applyBorder="1" applyAlignment="1">
      <alignment horizontal="center" vertical="top" wrapText="1"/>
    </xf>
    <xf numFmtId="3" fontId="46" fillId="0" borderId="7" xfId="0" applyNumberFormat="1" applyFont="1" applyFill="1" applyBorder="1" applyAlignment="1">
      <alignment horizontal="center" vertical="top" wrapText="1"/>
    </xf>
    <xf numFmtId="3" fontId="46" fillId="2" borderId="7" xfId="0" applyNumberFormat="1" applyFont="1" applyFill="1" applyBorder="1" applyAlignment="1">
      <alignment horizontal="center" vertical="top" wrapText="1"/>
    </xf>
    <xf numFmtId="0" fontId="45" fillId="0" borderId="7" xfId="0" applyFont="1" applyFill="1" applyBorder="1" applyAlignment="1">
      <alignment horizontal="center" wrapText="1"/>
    </xf>
    <xf numFmtId="3" fontId="46" fillId="0" borderId="7" xfId="0" applyNumberFormat="1" applyFont="1" applyFill="1" applyBorder="1" applyAlignment="1">
      <alignment horizontal="center" wrapText="1"/>
    </xf>
    <xf numFmtId="3" fontId="46" fillId="2" borderId="7" xfId="0" applyNumberFormat="1" applyFont="1" applyFill="1" applyBorder="1" applyAlignment="1">
      <alignment horizontal="center" wrapText="1"/>
    </xf>
    <xf numFmtId="3" fontId="45" fillId="0" borderId="7" xfId="0" applyNumberFormat="1" applyFont="1" applyFill="1" applyBorder="1" applyAlignment="1">
      <alignment horizontal="center" wrapText="1"/>
    </xf>
    <xf numFmtId="3" fontId="45" fillId="2" borderId="7" xfId="0" applyNumberFormat="1" applyFont="1" applyFill="1" applyBorder="1" applyAlignment="1">
      <alignment horizontal="center" wrapText="1"/>
    </xf>
    <xf numFmtId="0" fontId="21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vertical="top" wrapText="1"/>
    </xf>
    <xf numFmtId="0" fontId="21" fillId="2" borderId="4" xfId="0" applyFont="1" applyFill="1" applyBorder="1" applyAlignment="1">
      <alignment wrapText="1"/>
    </xf>
    <xf numFmtId="0" fontId="21" fillId="2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3" fontId="62" fillId="2" borderId="7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6" fillId="0" borderId="7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/>
    </xf>
    <xf numFmtId="3" fontId="46" fillId="0" borderId="7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left" vertical="top"/>
    </xf>
    <xf numFmtId="3" fontId="63" fillId="0" borderId="0" xfId="0" applyNumberFormat="1" applyFont="1" applyFill="1" applyBorder="1" applyAlignment="1">
      <alignment wrapText="1"/>
    </xf>
    <xf numFmtId="3" fontId="63" fillId="2" borderId="0" xfId="0" applyNumberFormat="1" applyFont="1" applyFill="1" applyBorder="1" applyAlignment="1">
      <alignment wrapText="1"/>
    </xf>
    <xf numFmtId="0" fontId="8" fillId="0" borderId="5" xfId="0" applyFont="1" applyFill="1" applyBorder="1" applyAlignment="1"/>
    <xf numFmtId="0" fontId="46" fillId="0" borderId="8" xfId="0" applyFont="1" applyFill="1" applyBorder="1" applyAlignment="1">
      <alignment wrapText="1"/>
    </xf>
    <xf numFmtId="0" fontId="46" fillId="0" borderId="6" xfId="0" applyFont="1" applyFill="1" applyBorder="1" applyAlignment="1">
      <alignment wrapText="1"/>
    </xf>
    <xf numFmtId="0" fontId="4" fillId="0" borderId="4" xfId="7" applyFont="1" applyFill="1" applyBorder="1" applyAlignment="1">
      <alignment horizontal="left"/>
    </xf>
    <xf numFmtId="0" fontId="4" fillId="0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wrapText="1"/>
    </xf>
    <xf numFmtId="0" fontId="39" fillId="0" borderId="8" xfId="0" applyFont="1" applyFill="1" applyBorder="1" applyAlignment="1"/>
    <xf numFmtId="0" fontId="6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indent="2"/>
    </xf>
    <xf numFmtId="0" fontId="64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2"/>
    </xf>
    <xf numFmtId="0" fontId="3" fillId="0" borderId="4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4" xfId="0" applyFont="1" applyFill="1" applyBorder="1"/>
    <xf numFmtId="0" fontId="3" fillId="0" borderId="0" xfId="0" applyFont="1" applyFill="1" applyBorder="1" applyAlignment="1">
      <alignment vertical="top"/>
    </xf>
    <xf numFmtId="0" fontId="5" fillId="0" borderId="4" xfId="0" applyFont="1" applyFill="1" applyBorder="1" applyAlignment="1"/>
    <xf numFmtId="0" fontId="3" fillId="0" borderId="4" xfId="0" applyFont="1" applyFill="1" applyBorder="1" applyAlignment="1"/>
    <xf numFmtId="0" fontId="3" fillId="7" borderId="7" xfId="0" applyFont="1" applyFill="1" applyBorder="1"/>
    <xf numFmtId="0" fontId="3" fillId="7" borderId="7" xfId="0" applyFont="1" applyFill="1" applyBorder="1" applyAlignment="1">
      <alignment horizontal="center"/>
    </xf>
    <xf numFmtId="189" fontId="3" fillId="2" borderId="7" xfId="5" applyNumberFormat="1" applyFont="1" applyFill="1" applyBorder="1"/>
    <xf numFmtId="0" fontId="5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89" fontId="3" fillId="0" borderId="7" xfId="5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89" fontId="3" fillId="0" borderId="7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5" fillId="0" borderId="53" xfId="0" applyFont="1" applyFill="1" applyBorder="1" applyAlignment="1">
      <alignment vertical="center" wrapText="1"/>
    </xf>
    <xf numFmtId="0" fontId="56" fillId="0" borderId="52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3" fillId="0" borderId="29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/>
    <xf numFmtId="3" fontId="5" fillId="0" borderId="3" xfId="0" applyNumberFormat="1" applyFont="1" applyFill="1" applyBorder="1" applyAlignment="1">
      <alignment vertical="center"/>
    </xf>
    <xf numFmtId="3" fontId="3" fillId="0" borderId="3" xfId="5" applyNumberFormat="1" applyFont="1" applyFill="1" applyBorder="1" applyAlignment="1">
      <alignment horizontal="center" vertical="center"/>
    </xf>
    <xf numFmtId="3" fontId="3" fillId="0" borderId="3" xfId="5" applyNumberFormat="1" applyFont="1" applyFill="1" applyBorder="1" applyAlignment="1">
      <alignment vertical="center"/>
    </xf>
    <xf numFmtId="3" fontId="3" fillId="0" borderId="3" xfId="5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11" fillId="0" borderId="3" xfId="5" applyNumberFormat="1" applyFont="1" applyFill="1" applyBorder="1" applyAlignment="1">
      <alignment vertical="center" wrapText="1"/>
    </xf>
    <xf numFmtId="3" fontId="3" fillId="4" borderId="3" xfId="0" applyNumberFormat="1" applyFont="1" applyFill="1" applyBorder="1"/>
    <xf numFmtId="3" fontId="3" fillId="0" borderId="3" xfId="0" applyNumberFormat="1" applyFont="1" applyFill="1" applyBorder="1"/>
    <xf numFmtId="189" fontId="3" fillId="3" borderId="59" xfId="5" applyNumberFormat="1" applyFont="1" applyFill="1" applyBorder="1" applyAlignment="1">
      <alignment horizontal="right"/>
    </xf>
    <xf numFmtId="189" fontId="3" fillId="0" borderId="59" xfId="5" applyNumberFormat="1" applyFont="1" applyFill="1" applyBorder="1" applyAlignment="1">
      <alignment horizontal="right"/>
    </xf>
    <xf numFmtId="187" fontId="3" fillId="0" borderId="59" xfId="0" applyNumberFormat="1" applyFont="1" applyFill="1" applyBorder="1" applyAlignment="1">
      <alignment horizontal="right"/>
    </xf>
    <xf numFmtId="189" fontId="65" fillId="3" borderId="59" xfId="5" applyNumberFormat="1" applyFont="1" applyFill="1" applyBorder="1" applyAlignment="1">
      <alignment horizontal="right"/>
    </xf>
    <xf numFmtId="189" fontId="3" fillId="0" borderId="59" xfId="5" applyNumberFormat="1" applyFont="1" applyFill="1" applyBorder="1"/>
    <xf numFmtId="189" fontId="5" fillId="0" borderId="59" xfId="5" applyNumberFormat="1" applyFont="1" applyFill="1" applyBorder="1" applyAlignment="1">
      <alignment horizontal="right" vertical="center"/>
    </xf>
    <xf numFmtId="189" fontId="3" fillId="2" borderId="59" xfId="5" applyNumberFormat="1" applyFont="1" applyFill="1" applyBorder="1" applyAlignment="1">
      <alignment horizontal="right" vertical="center"/>
    </xf>
    <xf numFmtId="3" fontId="3" fillId="2" borderId="59" xfId="0" applyNumberFormat="1" applyFont="1" applyFill="1" applyBorder="1" applyAlignment="1">
      <alignment horizontal="right" vertical="center"/>
    </xf>
    <xf numFmtId="189" fontId="3" fillId="2" borderId="59" xfId="5" applyNumberFormat="1" applyFont="1" applyFill="1" applyBorder="1" applyAlignment="1">
      <alignment horizontal="right" vertical="top"/>
    </xf>
    <xf numFmtId="193" fontId="3" fillId="2" borderId="59" xfId="0" applyNumberFormat="1" applyFont="1" applyFill="1" applyBorder="1" applyAlignment="1">
      <alignment horizontal="right" vertical="center"/>
    </xf>
    <xf numFmtId="189" fontId="5" fillId="2" borderId="59" xfId="5" applyNumberFormat="1" applyFont="1" applyFill="1" applyBorder="1" applyAlignment="1">
      <alignment horizontal="right" vertical="center"/>
    </xf>
    <xf numFmtId="189" fontId="65" fillId="0" borderId="59" xfId="5" applyNumberFormat="1" applyFont="1" applyFill="1" applyBorder="1" applyAlignment="1">
      <alignment horizontal="right"/>
    </xf>
    <xf numFmtId="192" fontId="3" fillId="0" borderId="59" xfId="0" applyNumberFormat="1" applyFont="1" applyFill="1" applyBorder="1" applyAlignment="1">
      <alignment horizontal="right"/>
    </xf>
    <xf numFmtId="192" fontId="3" fillId="0" borderId="59" xfId="5" applyNumberFormat="1" applyFont="1" applyFill="1" applyBorder="1" applyAlignment="1">
      <alignment horizontal="right"/>
    </xf>
    <xf numFmtId="43" fontId="65" fillId="0" borderId="59" xfId="5" applyFont="1" applyFill="1" applyBorder="1" applyAlignment="1">
      <alignment horizontal="right"/>
    </xf>
    <xf numFmtId="43" fontId="3" fillId="0" borderId="59" xfId="5" applyFont="1" applyFill="1" applyBorder="1" applyAlignment="1">
      <alignment horizontal="right"/>
    </xf>
    <xf numFmtId="189" fontId="5" fillId="0" borderId="59" xfId="5" applyNumberFormat="1" applyFont="1" applyFill="1" applyBorder="1"/>
    <xf numFmtId="187" fontId="3" fillId="0" borderId="59" xfId="0" applyNumberFormat="1" applyFont="1" applyFill="1" applyBorder="1"/>
    <xf numFmtId="189" fontId="5" fillId="7" borderId="59" xfId="5" applyNumberFormat="1" applyFont="1" applyFill="1" applyBorder="1" applyAlignment="1">
      <alignment vertical="center"/>
    </xf>
    <xf numFmtId="189" fontId="3" fillId="2" borderId="59" xfId="5" applyNumberFormat="1" applyFont="1" applyFill="1" applyBorder="1"/>
    <xf numFmtId="189" fontId="5" fillId="0" borderId="59" xfId="5" applyNumberFormat="1" applyFont="1" applyFill="1" applyBorder="1" applyAlignment="1">
      <alignment vertical="center"/>
    </xf>
    <xf numFmtId="189" fontId="3" fillId="0" borderId="59" xfId="5" applyNumberFormat="1" applyFont="1" applyFill="1" applyBorder="1" applyAlignment="1">
      <alignment vertical="center"/>
    </xf>
    <xf numFmtId="189" fontId="3" fillId="0" borderId="59" xfId="5" applyNumberFormat="1" applyFont="1" applyFill="1" applyBorder="1" applyAlignment="1">
      <alignment vertical="center" wrapText="1"/>
    </xf>
    <xf numFmtId="189" fontId="5" fillId="5" borderId="59" xfId="0" applyNumberFormat="1" applyFont="1" applyFill="1" applyBorder="1" applyAlignment="1">
      <alignment vertical="center"/>
    </xf>
    <xf numFmtId="192" fontId="11" fillId="0" borderId="59" xfId="0" applyNumberFormat="1" applyFont="1" applyFill="1" applyBorder="1" applyAlignment="1">
      <alignment vertical="center"/>
    </xf>
    <xf numFmtId="187" fontId="3" fillId="5" borderId="59" xfId="0" applyNumberFormat="1" applyFont="1" applyFill="1" applyBorder="1"/>
    <xf numFmtId="0" fontId="3" fillId="0" borderId="17" xfId="0" applyFont="1" applyFill="1" applyBorder="1"/>
    <xf numFmtId="0" fontId="3" fillId="0" borderId="26" xfId="0" applyFont="1" applyFill="1" applyBorder="1"/>
    <xf numFmtId="0" fontId="3" fillId="0" borderId="4" xfId="0" applyFont="1" applyFill="1" applyBorder="1" applyAlignment="1">
      <alignment horizontal="center"/>
    </xf>
    <xf numFmtId="0" fontId="3" fillId="4" borderId="4" xfId="0" applyFont="1" applyFill="1" applyBorder="1"/>
    <xf numFmtId="0" fontId="3" fillId="0" borderId="27" xfId="0" applyFont="1" applyFill="1" applyBorder="1"/>
    <xf numFmtId="0" fontId="3" fillId="0" borderId="4" xfId="0" applyFont="1" applyFill="1" applyBorder="1" applyAlignment="1">
      <alignment vertical="top"/>
    </xf>
    <xf numFmtId="0" fontId="3" fillId="7" borderId="4" xfId="0" applyFont="1" applyFill="1" applyBorder="1"/>
    <xf numFmtId="0" fontId="3" fillId="2" borderId="4" xfId="0" applyFont="1" applyFill="1" applyBorder="1"/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1" fillId="0" borderId="17" xfId="0" applyFont="1" applyFill="1" applyBorder="1" applyAlignment="1"/>
    <xf numFmtId="0" fontId="5" fillId="0" borderId="60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 indent="2"/>
    </xf>
    <xf numFmtId="0" fontId="3" fillId="0" borderId="61" xfId="0" applyFont="1" applyFill="1" applyBorder="1" applyAlignment="1">
      <alignment horizontal="left" indent="2"/>
    </xf>
    <xf numFmtId="0" fontId="3" fillId="0" borderId="61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/>
    </xf>
    <xf numFmtId="49" fontId="5" fillId="0" borderId="61" xfId="0" applyNumberFormat="1" applyFont="1" applyFill="1" applyBorder="1" applyAlignment="1">
      <alignment horizontal="left" indent="2"/>
    </xf>
    <xf numFmtId="0" fontId="5" fillId="0" borderId="62" xfId="0" applyFont="1" applyFill="1" applyBorder="1" applyAlignment="1">
      <alignment horizontal="left" indent="2"/>
    </xf>
    <xf numFmtId="0" fontId="5" fillId="2" borderId="61" xfId="0" applyFont="1" applyFill="1" applyBorder="1" applyAlignment="1">
      <alignment horizontal="left" vertical="center" indent="1"/>
    </xf>
    <xf numFmtId="0" fontId="3" fillId="2" borderId="61" xfId="0" applyFont="1" applyFill="1" applyBorder="1" applyAlignment="1">
      <alignment vertical="center"/>
    </xf>
    <xf numFmtId="0" fontId="3" fillId="2" borderId="61" xfId="0" applyFont="1" applyFill="1" applyBorder="1" applyAlignment="1">
      <alignment horizontal="left" vertical="center" indent="2"/>
    </xf>
    <xf numFmtId="0" fontId="3" fillId="2" borderId="61" xfId="0" applyFont="1" applyFill="1" applyBorder="1" applyAlignment="1">
      <alignment horizontal="left" vertical="top"/>
    </xf>
    <xf numFmtId="0" fontId="5" fillId="0" borderId="61" xfId="0" applyFont="1" applyFill="1" applyBorder="1" applyAlignment="1"/>
    <xf numFmtId="0" fontId="3" fillId="0" borderId="61" xfId="0" applyFont="1" applyFill="1" applyBorder="1" applyAlignment="1"/>
    <xf numFmtId="0" fontId="5" fillId="7" borderId="61" xfId="0" applyFont="1" applyFill="1" applyBorder="1" applyAlignment="1">
      <alignment horizontal="left" vertical="top" wrapText="1"/>
    </xf>
    <xf numFmtId="0" fontId="66" fillId="2" borderId="61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61" fillId="5" borderId="61" xfId="0" applyFont="1" applyFill="1" applyBorder="1" applyAlignment="1">
      <alignment vertical="center" wrapText="1"/>
    </xf>
    <xf numFmtId="0" fontId="61" fillId="5" borderId="61" xfId="0" applyFont="1" applyFill="1" applyBorder="1" applyAlignment="1">
      <alignment horizontal="left" vertical="center"/>
    </xf>
    <xf numFmtId="0" fontId="5" fillId="7" borderId="61" xfId="0" applyFont="1" applyFill="1" applyBorder="1" applyAlignment="1">
      <alignment horizontal="left"/>
    </xf>
    <xf numFmtId="0" fontId="11" fillId="0" borderId="11" xfId="8" applyFont="1" applyFill="1" applyBorder="1" applyAlignment="1">
      <alignment horizontal="center" vertical="top" wrapText="1"/>
    </xf>
    <xf numFmtId="0" fontId="3" fillId="0" borderId="11" xfId="7" applyFont="1" applyFill="1" applyBorder="1"/>
    <xf numFmtId="0" fontId="61" fillId="0" borderId="11" xfId="0" applyFont="1" applyFill="1" applyBorder="1" applyAlignment="1"/>
    <xf numFmtId="0" fontId="3" fillId="0" borderId="11" xfId="7" applyFont="1" applyFill="1" applyBorder="1" applyAlignment="1">
      <alignment wrapText="1"/>
    </xf>
    <xf numFmtId="0" fontId="3" fillId="0" borderId="17" xfId="7" applyFont="1" applyFill="1" applyBorder="1"/>
    <xf numFmtId="189" fontId="5" fillId="0" borderId="9" xfId="0" applyNumberFormat="1" applyFont="1" applyFill="1" applyBorder="1"/>
    <xf numFmtId="189" fontId="5" fillId="0" borderId="7" xfId="0" applyNumberFormat="1" applyFont="1" applyFill="1" applyBorder="1"/>
    <xf numFmtId="0" fontId="3" fillId="4" borderId="7" xfId="0" applyFont="1" applyFill="1" applyBorder="1" applyAlignment="1">
      <alignment horizontal="center" vertical="center"/>
    </xf>
    <xf numFmtId="189" fontId="3" fillId="0" borderId="7" xfId="0" applyNumberFormat="1" applyFont="1" applyFill="1" applyBorder="1" applyAlignment="1">
      <alignment vertical="center"/>
    </xf>
    <xf numFmtId="189" fontId="3" fillId="0" borderId="7" xfId="0" applyNumberFormat="1" applyFont="1" applyFill="1" applyBorder="1"/>
    <xf numFmtId="189" fontId="3" fillId="4" borderId="7" xfId="5" applyNumberFormat="1" applyFont="1" applyFill="1" applyBorder="1"/>
    <xf numFmtId="0" fontId="3" fillId="0" borderId="4" xfId="0" quotePrefix="1" applyFont="1" applyFill="1" applyBorder="1" applyAlignment="1"/>
    <xf numFmtId="0" fontId="3" fillId="2" borderId="4" xfId="0" quotePrefix="1" applyFont="1" applyFill="1" applyBorder="1" applyAlignment="1"/>
    <xf numFmtId="0" fontId="3" fillId="0" borderId="0" xfId="0" applyFont="1" applyFill="1" applyBorder="1" applyAlignment="1">
      <alignment horizontal="left" indent="2"/>
    </xf>
    <xf numFmtId="0" fontId="3" fillId="0" borderId="4" xfId="0" applyFont="1" applyFill="1" applyBorder="1" applyAlignment="1">
      <alignment wrapText="1"/>
    </xf>
    <xf numFmtId="189" fontId="5" fillId="3" borderId="59" xfId="5" applyNumberFormat="1" applyFont="1" applyFill="1" applyBorder="1" applyAlignment="1">
      <alignment horizontal="right"/>
    </xf>
    <xf numFmtId="189" fontId="5" fillId="0" borderId="59" xfId="5" applyNumberFormat="1" applyFont="1" applyFill="1" applyBorder="1" applyAlignment="1">
      <alignment horizontal="right"/>
    </xf>
    <xf numFmtId="187" fontId="67" fillId="0" borderId="0" xfId="0" applyNumberFormat="1" applyFont="1" applyFill="1" applyBorder="1" applyAlignment="1">
      <alignment horizontal="right"/>
    </xf>
    <xf numFmtId="189" fontId="5" fillId="3" borderId="50" xfId="5" applyNumberFormat="1" applyFont="1" applyFill="1" applyBorder="1" applyAlignment="1">
      <alignment horizontal="right"/>
    </xf>
    <xf numFmtId="0" fontId="5" fillId="2" borderId="61" xfId="0" applyFont="1" applyFill="1" applyBorder="1" applyAlignment="1">
      <alignment vertical="center"/>
    </xf>
    <xf numFmtId="0" fontId="5" fillId="2" borderId="61" xfId="0" applyFont="1" applyFill="1" applyBorder="1" applyAlignment="1">
      <alignment vertical="center" wrapText="1"/>
    </xf>
    <xf numFmtId="0" fontId="5" fillId="2" borderId="61" xfId="0" applyFont="1" applyFill="1" applyBorder="1" applyAlignment="1">
      <alignment vertical="top" wrapText="1"/>
    </xf>
    <xf numFmtId="0" fontId="3" fillId="0" borderId="8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vertical="top"/>
    </xf>
    <xf numFmtId="3" fontId="21" fillId="0" borderId="16" xfId="0" applyNumberFormat="1" applyFont="1" applyFill="1" applyBorder="1" applyAlignment="1">
      <alignment vertical="top" wrapText="1"/>
    </xf>
    <xf numFmtId="0" fontId="11" fillId="0" borderId="39" xfId="0" applyFont="1" applyFill="1" applyBorder="1" applyAlignment="1">
      <alignment horizontal="left" vertical="top"/>
    </xf>
    <xf numFmtId="3" fontId="21" fillId="0" borderId="10" xfId="0" applyNumberFormat="1" applyFont="1" applyFill="1" applyBorder="1" applyAlignment="1">
      <alignment wrapText="1"/>
    </xf>
    <xf numFmtId="3" fontId="4" fillId="3" borderId="50" xfId="0" applyNumberFormat="1" applyFont="1" applyFill="1" applyBorder="1" applyAlignment="1">
      <alignment horizontal="right"/>
    </xf>
    <xf numFmtId="0" fontId="4" fillId="0" borderId="18" xfId="2" applyFont="1" applyFill="1" applyBorder="1" applyAlignment="1">
      <alignment vertical="top"/>
    </xf>
    <xf numFmtId="3" fontId="19" fillId="0" borderId="10" xfId="0" applyNumberFormat="1" applyFont="1" applyFill="1" applyBorder="1" applyAlignment="1">
      <alignment wrapText="1"/>
    </xf>
    <xf numFmtId="0" fontId="11" fillId="0" borderId="11" xfId="2" applyFont="1" applyFill="1" applyBorder="1" applyAlignment="1">
      <alignment horizontal="center" vertical="top" wrapText="1"/>
    </xf>
    <xf numFmtId="0" fontId="21" fillId="0" borderId="17" xfId="0" applyFont="1" applyFill="1" applyBorder="1"/>
    <xf numFmtId="0" fontId="21" fillId="0" borderId="20" xfId="0" applyFont="1" applyFill="1" applyBorder="1" applyAlignment="1">
      <alignment vertical="center" wrapText="1"/>
    </xf>
    <xf numFmtId="3" fontId="4" fillId="2" borderId="17" xfId="3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69" fillId="0" borderId="0" xfId="7" applyFont="1" applyFill="1" applyBorder="1"/>
    <xf numFmtId="0" fontId="38" fillId="0" borderId="8" xfId="0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/>
    </xf>
    <xf numFmtId="0" fontId="3" fillId="4" borderId="6" xfId="0" applyFont="1" applyFill="1" applyBorder="1"/>
    <xf numFmtId="0" fontId="5" fillId="0" borderId="68" xfId="0" applyFont="1" applyFill="1" applyBorder="1" applyAlignment="1"/>
    <xf numFmtId="0" fontId="3" fillId="4" borderId="29" xfId="0" applyFont="1" applyFill="1" applyBorder="1"/>
    <xf numFmtId="49" fontId="5" fillId="0" borderId="26" xfId="0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 vertical="center" wrapText="1"/>
    </xf>
    <xf numFmtId="189" fontId="4" fillId="0" borderId="67" xfId="5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4" fillId="0" borderId="68" xfId="0" applyFont="1" applyFill="1" applyBorder="1" applyAlignment="1"/>
    <xf numFmtId="49" fontId="4" fillId="0" borderId="10" xfId="0" applyNumberFormat="1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left"/>
    </xf>
    <xf numFmtId="0" fontId="4" fillId="0" borderId="58" xfId="0" applyFont="1" applyFill="1" applyBorder="1" applyAlignment="1">
      <alignment horizontal="center" vertical="center" wrapText="1"/>
    </xf>
    <xf numFmtId="189" fontId="4" fillId="0" borderId="17" xfId="5" applyNumberFormat="1" applyFont="1" applyFill="1" applyBorder="1" applyAlignment="1">
      <alignment horizontal="center" vertical="center" wrapText="1"/>
    </xf>
    <xf numFmtId="189" fontId="5" fillId="0" borderId="17" xfId="5" applyNumberFormat="1" applyFont="1" applyFill="1" applyBorder="1"/>
    <xf numFmtId="0" fontId="11" fillId="0" borderId="24" xfId="0" applyFont="1" applyFill="1" applyBorder="1"/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vertical="center"/>
    </xf>
    <xf numFmtId="189" fontId="3" fillId="0" borderId="2" xfId="5" applyNumberFormat="1" applyFont="1" applyFill="1" applyBorder="1" applyAlignment="1">
      <alignment horizontal="center"/>
    </xf>
    <xf numFmtId="189" fontId="3" fillId="0" borderId="2" xfId="5" applyNumberFormat="1" applyFont="1" applyFill="1" applyBorder="1"/>
    <xf numFmtId="49" fontId="4" fillId="2" borderId="4" xfId="0" applyNumberFormat="1" applyFont="1" applyFill="1" applyBorder="1" applyAlignment="1">
      <alignment horizontal="right"/>
    </xf>
    <xf numFmtId="0" fontId="33" fillId="0" borderId="3" xfId="0" applyFont="1" applyFill="1" applyBorder="1" applyAlignment="1"/>
    <xf numFmtId="0" fontId="33" fillId="0" borderId="5" xfId="0" applyFont="1" applyFill="1" applyBorder="1" applyAlignment="1"/>
    <xf numFmtId="0" fontId="5" fillId="0" borderId="70" xfId="0" applyFont="1" applyFill="1" applyBorder="1" applyAlignment="1"/>
    <xf numFmtId="0" fontId="8" fillId="2" borderId="10" xfId="2" applyFont="1" applyFill="1" applyBorder="1" applyAlignment="1">
      <alignment horizontal="center" wrapText="1"/>
    </xf>
    <xf numFmtId="0" fontId="8" fillId="0" borderId="16" xfId="2" applyFont="1" applyFill="1" applyBorder="1" applyAlignment="1">
      <alignment horizontal="center" vertical="top"/>
    </xf>
    <xf numFmtId="0" fontId="8" fillId="0" borderId="12" xfId="2" applyFont="1" applyFill="1" applyBorder="1" applyAlignment="1">
      <alignment horizontal="right" vertical="top" wrapText="1"/>
    </xf>
    <xf numFmtId="49" fontId="8" fillId="2" borderId="16" xfId="2" applyNumberFormat="1" applyFont="1" applyFill="1" applyBorder="1" applyAlignment="1">
      <alignment horizontal="left" vertical="top" wrapText="1"/>
    </xf>
    <xf numFmtId="194" fontId="8" fillId="0" borderId="20" xfId="2" applyNumberFormat="1" applyFont="1" applyFill="1" applyBorder="1" applyAlignment="1">
      <alignment horizontal="center" vertical="top" wrapText="1"/>
    </xf>
    <xf numFmtId="2" fontId="8" fillId="0" borderId="12" xfId="2" applyNumberFormat="1" applyFont="1" applyFill="1" applyBorder="1" applyAlignment="1">
      <alignment horizontal="center" vertical="top" wrapText="1"/>
    </xf>
    <xf numFmtId="191" fontId="8" fillId="2" borderId="10" xfId="3" applyNumberFormat="1" applyFont="1" applyFill="1" applyBorder="1" applyAlignment="1">
      <alignment horizontal="center" wrapText="1"/>
    </xf>
    <xf numFmtId="0" fontId="4" fillId="2" borderId="12" xfId="2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189" fontId="5" fillId="0" borderId="28" xfId="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9" fontId="5" fillId="0" borderId="48" xfId="5" applyNumberFormat="1" applyFont="1" applyFill="1" applyBorder="1" applyAlignment="1">
      <alignment horizontal="center" vertical="center" wrapText="1"/>
    </xf>
    <xf numFmtId="189" fontId="5" fillId="0" borderId="45" xfId="5" applyNumberFormat="1" applyFont="1" applyFill="1" applyBorder="1" applyAlignment="1">
      <alignment horizontal="center" vertical="center" wrapText="1"/>
    </xf>
    <xf numFmtId="189" fontId="33" fillId="0" borderId="27" xfId="5" applyNumberFormat="1" applyFont="1" applyFill="1" applyBorder="1" applyAlignment="1">
      <alignment horizontal="center" vertical="center" wrapText="1"/>
    </xf>
    <xf numFmtId="189" fontId="33" fillId="0" borderId="26" xfId="5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9" fontId="4" fillId="0" borderId="10" xfId="5" applyNumberFormat="1" applyFont="1" applyFill="1" applyBorder="1" applyAlignment="1">
      <alignment horizontal="center" vertical="center" wrapText="1"/>
    </xf>
    <xf numFmtId="189" fontId="4" fillId="0" borderId="11" xfId="5" applyNumberFormat="1" applyFont="1" applyFill="1" applyBorder="1" applyAlignment="1">
      <alignment horizontal="center" vertical="center" wrapText="1"/>
    </xf>
    <xf numFmtId="189" fontId="4" fillId="0" borderId="50" xfId="5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top"/>
    </xf>
    <xf numFmtId="0" fontId="4" fillId="2" borderId="10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43" fillId="0" borderId="3" xfId="2" applyFont="1" applyFill="1" applyBorder="1" applyAlignment="1">
      <alignment horizontal="right"/>
    </xf>
    <xf numFmtId="0" fontId="43" fillId="0" borderId="5" xfId="2" applyFont="1" applyFill="1" applyBorder="1" applyAlignment="1">
      <alignment horizontal="right"/>
    </xf>
    <xf numFmtId="0" fontId="43" fillId="0" borderId="4" xfId="2" applyFont="1" applyFill="1" applyBorder="1" applyAlignment="1">
      <alignment horizontal="right"/>
    </xf>
    <xf numFmtId="0" fontId="8" fillId="0" borderId="0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wrapText="1"/>
    </xf>
    <xf numFmtId="187" fontId="5" fillId="0" borderId="17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0" borderId="27" xfId="7" applyFont="1" applyFill="1" applyBorder="1" applyAlignment="1">
      <alignment horizontal="center" vertical="center" wrapText="1"/>
    </xf>
    <xf numFmtId="0" fontId="5" fillId="0" borderId="28" xfId="7" applyFont="1" applyFill="1" applyBorder="1" applyAlignment="1">
      <alignment horizontal="center" vertical="center" wrapText="1"/>
    </xf>
    <xf numFmtId="0" fontId="5" fillId="0" borderId="26" xfId="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top" wrapText="1"/>
    </xf>
    <xf numFmtId="0" fontId="5" fillId="0" borderId="6" xfId="7" applyFont="1" applyFill="1" applyBorder="1" applyAlignment="1">
      <alignment horizontal="center" vertical="top" wrapText="1"/>
    </xf>
  </cellXfs>
  <cellStyles count="15">
    <cellStyle name="Comma" xfId="5" builtinId="3"/>
    <cellStyle name="Comma 2" xfId="10" xr:uid="{00000000-0005-0000-0000-000001000000}"/>
    <cellStyle name="Comma 3" xfId="13" xr:uid="{00000000-0005-0000-0000-000002000000}"/>
    <cellStyle name="Comma 4" xfId="14" xr:uid="{00000000-0005-0000-0000-000003000000}"/>
    <cellStyle name="Normal" xfId="0" builtinId="0"/>
    <cellStyle name="Normal 12 2" xfId="7" xr:uid="{00000000-0005-0000-0000-000005000000}"/>
    <cellStyle name="Normal 2" xfId="11" xr:uid="{00000000-0005-0000-0000-000006000000}"/>
    <cellStyle name="Normal 2 2" xfId="12" xr:uid="{00000000-0005-0000-0000-000007000000}"/>
    <cellStyle name="เครื่องหมายจุลภาค 2" xfId="3" xr:uid="{00000000-0005-0000-0000-000008000000}"/>
    <cellStyle name="ปกติ 2" xfId="2" xr:uid="{00000000-0005-0000-0000-000009000000}"/>
    <cellStyle name="ปกติ 2 5" xfId="8" xr:uid="{00000000-0005-0000-0000-00000A000000}"/>
    <cellStyle name="ปกติ 3" xfId="1" xr:uid="{00000000-0005-0000-0000-00000B000000}"/>
    <cellStyle name="ปกติ 3 2" xfId="9" xr:uid="{00000000-0005-0000-0000-00000C000000}"/>
    <cellStyle name="ปกติ 4" xfId="4" xr:uid="{00000000-0005-0000-0000-00000D000000}"/>
    <cellStyle name="ปกติ_แบบฟอร์มกรรมาธิการฯ 59-2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6;&#3619;&#3640;&#3611;&#3588;&#3656;&#3634;&#3651;&#3594;&#3657;&#3592;&#3656;&#3634;&#3618;&#3650;&#3588;&#3619;&#3591;&#3585;&#3634;&#3619;%20131160\5.4.2.2%20&#3650;&#3588;&#3619;&#3591;&#3585;&#3634;&#3619;&#3626;&#3656;&#3591;&#3648;&#3626;&#3619;&#3636;&#3617;&#3649;&#3621;&#3632;&#3618;&#3585;&#3619;&#3632;&#3604;&#3633;&#3610;&#3648;&#3588;&#3619;&#3639;&#3629;&#3586;&#3656;&#3634;&#3618;&#3629;&#3640;&#3605;&#3626;&#3634;&#3627;&#3585;&#3619;&#3619;&#3617;&#3648;&#3594;&#3636;&#3591;&#3609;&#3636;&#3648;&#3623;&#3624;%2015%20&#3592;&#3633;&#3591;&#3627;&#3623;&#3633;&#3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3.สรุปเต็ม"/>
      <sheetName val="3.สรุปย่อ"/>
      <sheetName val="4. แบบ ก. 9"/>
    </sheetNames>
    <sheetDataSet>
      <sheetData sheetId="0" refreshError="1"/>
      <sheetData sheetId="1" refreshError="1"/>
      <sheetData sheetId="2" refreshError="1"/>
      <sheetData sheetId="3">
        <row r="18">
          <cell r="C18" t="str">
            <v>ผู้จัดการโครงการ</v>
          </cell>
          <cell r="P18">
            <v>780000</v>
          </cell>
        </row>
        <row r="19">
          <cell r="C19" t="str">
            <v>ผู้เชี่ยวชาญด้านสิ่งแวดล้อม ความปลอดภัยและอาชีวอนามัย</v>
          </cell>
          <cell r="P19">
            <v>400000</v>
          </cell>
        </row>
        <row r="20">
          <cell r="C20" t="str">
            <v>ผู้เชี่ยวชาญด้านเศรษฐกิจและสังคม</v>
          </cell>
          <cell r="P20">
            <v>400000</v>
          </cell>
        </row>
        <row r="21">
          <cell r="C21" t="str">
            <v>ผู้เชี่ยวชาญด้านสถิติและเทคโนโลยีสารสนเทศ</v>
          </cell>
          <cell r="P21">
            <v>320000</v>
          </cell>
        </row>
        <row r="22">
          <cell r="C22" t="str">
            <v>ผู้เชี่ยวชาญด้านการจัดการอุตสาหกรรม</v>
          </cell>
          <cell r="P22">
            <v>320000</v>
          </cell>
        </row>
        <row r="23">
          <cell r="C23" t="str">
            <v>ผู้เชี่ยวชาญด้านการวางแผนพัฒนา</v>
          </cell>
          <cell r="P23">
            <v>320000</v>
          </cell>
        </row>
        <row r="24">
          <cell r="C24" t="str">
            <v>ที่ปรึกษาด้านการมีส่วนร่วมของประชาชน</v>
          </cell>
          <cell r="P24">
            <v>600000</v>
          </cell>
        </row>
        <row r="25">
          <cell r="C25" t="str">
            <v>ผู้จัดการด้านการตรวจประเมินและการรับรองระบบ</v>
          </cell>
          <cell r="P25">
            <v>320000</v>
          </cell>
        </row>
        <row r="26">
          <cell r="C26" t="str">
            <v>นักวิชาการเศรษฐกิจหรือสังคม</v>
          </cell>
          <cell r="P26">
            <v>200000</v>
          </cell>
        </row>
        <row r="27">
          <cell r="C27" t="str">
            <v>วิศวกร/นักวิทยาศาสตร์ด้านสิ่งแวดล้อม</v>
          </cell>
          <cell r="P27">
            <v>400000</v>
          </cell>
        </row>
        <row r="28">
          <cell r="C28" t="str">
            <v xml:space="preserve">เจ้าหน้าที่สนับสนุนโครงการ  </v>
          </cell>
          <cell r="P28">
            <v>1350000</v>
          </cell>
        </row>
        <row r="29">
          <cell r="C29" t="str">
            <v>ผู้ประสานงานโครงการ</v>
          </cell>
          <cell r="P29">
            <v>1350000</v>
          </cell>
        </row>
        <row r="30">
          <cell r="C30" t="str">
            <v xml:space="preserve">เจ้าหน้าที่สนับสนุนโครงการ (ประจำกรมโรงงาน)  </v>
          </cell>
          <cell r="P30">
            <v>540000</v>
          </cell>
        </row>
        <row r="32">
          <cell r="C32" t="str">
            <v>เบี้ยเลี้ยงเจ้าหน้าที่ (240 x 7 คน x 3 วัน x 15 จังหวัด)</v>
          </cell>
          <cell r="P32">
            <v>75600</v>
          </cell>
        </row>
        <row r="33">
          <cell r="C33" t="str">
            <v>ค่าที่พักเจ้าหน้าที่ (1200 บาท x จำนวน 7 คน x 3 คืน x 15 จังหวัด)</v>
          </cell>
          <cell r="P33">
            <v>378000</v>
          </cell>
        </row>
        <row r="34">
          <cell r="C34" t="str">
            <v>ค่าเครื่องบินเจ้าหน้าที่ (5,000 บาท x  7 คน x 3 จังหวัด) (สงขลา, สุราษฏร์ธานี, ขอนแก่น)</v>
          </cell>
          <cell r="P34">
            <v>105000</v>
          </cell>
        </row>
        <row r="35">
          <cell r="C35" t="str">
            <v>ค่ารถโดยสาร (รถตู้รวมค่าน้ำมัน) (2500 บาท x 3 วัน x 15 จังหวัด)</v>
          </cell>
          <cell r="P35">
            <v>112500</v>
          </cell>
        </row>
        <row r="36">
          <cell r="C36" t="str">
            <v>ค่าอุปกรณ์จัดเก็บฐานข้อมูลในรูปอิเล็กทรอนิกส์ไฟล์</v>
          </cell>
          <cell r="P36">
            <v>20000</v>
          </cell>
        </row>
        <row r="37">
          <cell r="C37" t="str">
            <v>ค่าอุปกรณ์จัดทำฐานข้อมูลในรูปอิเล็กทรอนิกส์ไฟล์</v>
          </cell>
        </row>
        <row r="38">
          <cell r="C38" t="str">
            <v>- คอมพิวเตอร์โน้ตบุ๊ก</v>
          </cell>
          <cell r="P38">
            <v>105000</v>
          </cell>
        </row>
        <row r="39">
          <cell r="C39" t="str">
            <v>- คอมพิวเตอร์แท็บเล็ต (30,000 บาท x 15 จังหวัด)</v>
          </cell>
          <cell r="P39">
            <v>450000</v>
          </cell>
        </row>
        <row r="40">
          <cell r="C40" t="str">
            <v>ค่าใช้จ่ายอื่นๆ (50,000 บาท x 15 จังหวัด)</v>
          </cell>
          <cell r="P40">
            <v>75000</v>
          </cell>
        </row>
        <row r="42">
          <cell r="C42" t="str">
            <v>ค่าเอกสารประกอบการประชุม (200 บาท x 50 คน x 2 วัน x 1 ครั้ง x 15 จังหวัด)</v>
          </cell>
          <cell r="P42">
            <v>300000</v>
          </cell>
        </row>
        <row r="43">
          <cell r="C43" t="str">
            <v>ค่าสถานที่จัดประชุม (50,000 บาท x 2 วัน x  1 ครั้ง x 15 จังหวัด)</v>
          </cell>
          <cell r="P43">
            <v>1500000</v>
          </cell>
        </row>
        <row r="44">
          <cell r="C44" t="str">
            <v>ค่าอาหารว่าง (50 บาท x 50 คน x 4 มื้อ x 1 ครั้ง x 15 จังหวัด)</v>
          </cell>
          <cell r="P44">
            <v>150000</v>
          </cell>
        </row>
        <row r="45">
          <cell r="C45" t="str">
            <v>ค่าอาหารกลางวัน  (500 บาท x 50 คน x 2 มื้อ x 1 ครั้ง x 15 จังหวัด)</v>
          </cell>
          <cell r="P45">
            <v>750000</v>
          </cell>
        </row>
        <row r="46">
          <cell r="C46" t="str">
            <v>ค่าที่พักผู้เข้าร่วมอบรม (1,200 บาท x 50 คน x 1 คืน x 15 จังหวัด)</v>
          </cell>
          <cell r="P46">
            <v>900000</v>
          </cell>
        </row>
        <row r="47">
          <cell r="C47" t="str">
            <v>ค่าที่พักเจ้าหน้าที่  (1,200 บาท x 5 คน x 2 คืน x 15 จังหวัด)</v>
          </cell>
          <cell r="P47">
            <v>180000</v>
          </cell>
        </row>
        <row r="48">
          <cell r="C48" t="str">
            <v>ค่ารถ รวมน้ำมัน  (2,500 บาท x 1 คัน x  2 วัน x 15 จังหวัด)</v>
          </cell>
          <cell r="P48">
            <v>75000</v>
          </cell>
        </row>
        <row r="49">
          <cell r="C49" t="str">
            <v>เบี้ยเลี้ยงเจ้าหน้าที่ (240 บาท x 5 คน x  2 วัน x 15 จังหวัด</v>
          </cell>
          <cell r="P49">
            <v>36000</v>
          </cell>
        </row>
        <row r="50">
          <cell r="C50" t="str">
            <v>ค่าสมนาคุณวิทยากร (1,600 บาท x 8 ชั่วโมง x 2 วัน)</v>
          </cell>
          <cell r="P50">
            <v>25600</v>
          </cell>
        </row>
        <row r="51">
          <cell r="C51" t="str">
            <v>ค่าเครื่องบินไป-กลับ วิทยากร (5,000 บาท x  1 คน x 3 จังหวัด) (สงขลา, สุราษฏร์ธานี, ขอนแก่น)</v>
          </cell>
          <cell r="P51">
            <v>15000</v>
          </cell>
        </row>
        <row r="52">
          <cell r="C52" t="str">
            <v>ค่าใช้จ่ายอื่นๆ</v>
          </cell>
          <cell r="P52">
            <v>5000</v>
          </cell>
        </row>
        <row r="54">
          <cell r="C54" t="str">
            <v>ค่าเอกสารประกอบการประชุม (200 บาท x 50 คน x 2 วัน x 1 ครั้ง x 15 จังหวัด)</v>
          </cell>
          <cell r="P54">
            <v>300000</v>
          </cell>
        </row>
        <row r="55">
          <cell r="C55" t="str">
            <v>ค่าสถานที่จัดประชุม (50,000 บาท x 2 วัน x  1 ครั้ง x 15 จังหวัด)</v>
          </cell>
          <cell r="P55">
            <v>1500000</v>
          </cell>
        </row>
        <row r="56">
          <cell r="C56" t="str">
            <v>ค่าอาหารว่าง (50 บาท x 50 คน x 4 มื้อ x 1 ครั้ง x 15 จังหวัด)</v>
          </cell>
          <cell r="P56">
            <v>150000</v>
          </cell>
        </row>
        <row r="57">
          <cell r="C57" t="str">
            <v>ค่าอาหารกลางวัน  (500 บาท x 50 คน x 2 มื้อ x 1 ครั้ง x 15 จังหวัด)</v>
          </cell>
          <cell r="P57">
            <v>750000</v>
          </cell>
        </row>
        <row r="58">
          <cell r="C58" t="str">
            <v>ค่าที่พักผู้เข้าร่วมอบรม (1,200 บาท x 50 คน x 1 คืน x 15 จังหวัด)</v>
          </cell>
          <cell r="P58">
            <v>900000</v>
          </cell>
        </row>
        <row r="59">
          <cell r="C59" t="str">
            <v>ที่พักเจ้าหน้าที่  (1,200 บาท x 5 คน x 2 คืน x 15 จังหวัด)</v>
          </cell>
          <cell r="P59">
            <v>180000</v>
          </cell>
        </row>
        <row r="60">
          <cell r="C60" t="str">
            <v>ค่ารถ รวมน้ำมัน  (2,500 บาท x 1 คัน x  2 วัน x 15 จังหวัด)</v>
          </cell>
          <cell r="P60">
            <v>75000</v>
          </cell>
        </row>
        <row r="61">
          <cell r="C61" t="str">
            <v>เบี้ยเลี้ยงเจ้าหน้าที่ (240 บาท x 5 คน x  2 วัน x 15 จังหวัด</v>
          </cell>
          <cell r="P61">
            <v>36000</v>
          </cell>
        </row>
        <row r="62">
          <cell r="C62" t="str">
            <v>ค่าสมนาคุณวิทยากร (1,600 บาท x 8 ชั่วโมง x 2 วัน)</v>
          </cell>
          <cell r="P62">
            <v>25600</v>
          </cell>
        </row>
        <row r="63">
          <cell r="C63" t="str">
            <v>ค่าเครื่องบินไป-กลับ วิทยากร (5,000 บาท x  1 คน x 3 จังหวัด) (สงขลา, สุราษฏร์ธานี, ขอนแก่น)</v>
          </cell>
          <cell r="P63">
            <v>15000</v>
          </cell>
        </row>
        <row r="64">
          <cell r="C64" t="str">
            <v>ค่าใช้จ่ายอื่นๆ</v>
          </cell>
          <cell r="P64">
            <v>5000</v>
          </cell>
        </row>
        <row r="66">
          <cell r="C66" t="str">
            <v>ประชาสัมพันธ์ผ่านวิทยุชุมชน ( 100 บาท/30 วินาที x 30 นาที x 2 ครั้ง x 15 จังหวัด)</v>
          </cell>
          <cell r="P66">
            <v>180000</v>
          </cell>
        </row>
        <row r="67">
          <cell r="C67" t="str">
            <v>ประชาสัมพันธ์ผ่านหนังสือพิมพ์ (341,000 บาท x 3 ฉบับ)</v>
          </cell>
          <cell r="P67">
            <v>1023000</v>
          </cell>
        </row>
        <row r="68">
          <cell r="C68" t="str">
            <v>ประชาสัมพันธ์ผ่านโทรทัศน์ (450,000 บาท x 2 นาที)</v>
          </cell>
          <cell r="P68">
            <v>900000</v>
          </cell>
        </row>
        <row r="70">
          <cell r="C70" t="str">
            <v>ค่าเครื่องบินไป-กลับ (50,000 บาท x  30 คน)</v>
          </cell>
          <cell r="P70">
            <v>1500000</v>
          </cell>
        </row>
        <row r="71">
          <cell r="C71" t="str">
            <v>ค่าที่พักผู้เข้าร่วมศึกษาดูงาน (10,500 บาท x 3 คืน x 30 คน)</v>
          </cell>
          <cell r="P71">
            <v>945000</v>
          </cell>
        </row>
        <row r="72">
          <cell r="C72" t="str">
            <v>ค่าที่เบี้ยเลี้ยงผู้เข้าร่วมศึกษาดูงาน (2,100 บาท x 3 วัน x 30 คน)</v>
          </cell>
          <cell r="P72">
            <v>189000</v>
          </cell>
        </row>
        <row r="73">
          <cell r="C73" t="str">
            <v>ค่ารถโดยสาร (รถทัวร์) (55,000บาท x 3 วัน)</v>
          </cell>
          <cell r="P73">
            <v>165000</v>
          </cell>
        </row>
        <row r="74">
          <cell r="C74" t="str">
            <v>ค่ามัคคุเทศก์ (10,000บาท x 3 วัน)</v>
          </cell>
          <cell r="P74">
            <v>30000</v>
          </cell>
        </row>
        <row r="76">
          <cell r="C76" t="str">
            <v>ค่าสถานที่ พร้อมตกแต่งและสิ่งอำนวยความสะดวก</v>
          </cell>
          <cell r="P76">
            <v>200000</v>
          </cell>
        </row>
        <row r="77">
          <cell r="C77" t="str">
            <v>พิธีกร (1 คน /1 ครั้ง)</v>
          </cell>
          <cell r="P77">
            <v>50000</v>
          </cell>
        </row>
        <row r="78">
          <cell r="C78" t="str">
            <v>เบี้ยเลี้ยงเจ้าหน้าที่ ( 600 บาท x 50 คน)</v>
          </cell>
          <cell r="P78">
            <v>30000</v>
          </cell>
        </row>
        <row r="79">
          <cell r="C79" t="str">
            <v>ค่าเช่ารถ รวมน้ำมัน (2500 บาท x 10 คัน x 1 วัน)</v>
          </cell>
          <cell r="P79">
            <v>25000</v>
          </cell>
        </row>
        <row r="80">
          <cell r="C80" t="str">
            <v>โล่รางวัล ( 1000 บาทx  750 อัน)</v>
          </cell>
          <cell r="P80">
            <v>750000</v>
          </cell>
        </row>
        <row r="81">
          <cell r="C81" t="str">
            <v>ประกาศเกียรติบัตร ( 100 บาทx  750 ใบ)</v>
          </cell>
          <cell r="P81">
            <v>75000</v>
          </cell>
        </row>
        <row r="82">
          <cell r="C82" t="str">
            <v>ค่าแผ่นพับประชาสัมพันธ์ ขนาด A4 พิมพ์ 4 สี 2 หน้าพับ 3 ตอน (2.15 บาท x 2500 ชุด)</v>
          </cell>
          <cell r="P82">
            <v>5375</v>
          </cell>
        </row>
        <row r="83">
          <cell r="C83" t="str">
            <v>ค่าเอกสารประกอบการสัมมนาประชาสัมพันธ์ (100 บาท x 500 ชุด)</v>
          </cell>
          <cell r="P83">
            <v>50000</v>
          </cell>
        </row>
        <row r="84">
          <cell r="C84" t="str">
            <v>โปสเตอร์ประชาสัมพันธ์ ขนาด A2 พิมพ์ 4 สี (6.85 บาท x 500 ชุด)</v>
          </cell>
          <cell r="P84">
            <v>3425</v>
          </cell>
        </row>
        <row r="85">
          <cell r="C85" t="str">
            <v>แผ่นป้ายแบนเนอร์ ขนาด 1.2x2.4 เมตร (510 บาท x 75 ชุด)</v>
          </cell>
          <cell r="P85">
            <v>38250</v>
          </cell>
        </row>
        <row r="86">
          <cell r="C86" t="str">
            <v xml:space="preserve">เอกสารและสื่ออิเลคทรอนิกส์ </v>
          </cell>
          <cell r="P86">
            <v>5000</v>
          </cell>
        </row>
        <row r="87">
          <cell r="C87" t="str">
            <v>วิดีทัศน์แนะนำโครงการฯ (ความยาวไม่น้อยกว่า 3 นาที)</v>
          </cell>
          <cell r="P87">
            <v>50000</v>
          </cell>
        </row>
        <row r="88">
          <cell r="C88" t="str">
            <v>ค่าอุปกรณ์แสงและเสียง</v>
          </cell>
          <cell r="P88">
            <v>50000</v>
          </cell>
        </row>
        <row r="89">
          <cell r="C89" t="str">
            <v>ค่าของที่ระลึกสำหรับผู้เข้าร่วมงาน (500 บาท x 750 ชุด)</v>
          </cell>
          <cell r="P89">
            <v>375000</v>
          </cell>
        </row>
        <row r="91">
          <cell r="C91" t="str">
            <v xml:space="preserve">แผนการดำเนินโครงการ 12 ฉบับ พร้อม CD-Rom 1 แผ่น (500 บาท x 12 ฉบับ) </v>
          </cell>
          <cell r="P91">
            <v>6000</v>
          </cell>
        </row>
        <row r="92">
          <cell r="C92" t="str">
            <v>รายงานสรุปประเมินประสิทธิภาพและประเมินประสิทธิผลการดำเนินงานของเครือข่ายของอุตสาหกรรมเชิงนิเวศ 300 ฉบับ พร้อม CD-Rom 1 แผ่น</v>
          </cell>
          <cell r="P92">
            <v>240000</v>
          </cell>
        </row>
        <row r="93">
          <cell r="C93" t="str">
            <v>จัดทำรายงานการติดตามและประเมินผลการดำเนินงานของเครือข่ายอุตสาหกรรมเชิงนิเวศ 300 ฉบับ พร้อม CD-Rom 1 แผ่น (800 บาท*300 ฉบับ)</v>
          </cell>
          <cell r="P93">
            <v>240000</v>
          </cell>
        </row>
        <row r="94">
          <cell r="C94" t="str">
            <v>ร่างรายงานฉบับสมบูรณ์ 12 ฉบับ พร้อม CD-Rom 1 แผ่นพร้อม CD-Rom</v>
          </cell>
          <cell r="P94">
            <v>12000</v>
          </cell>
        </row>
        <row r="95">
          <cell r="C95" t="str">
            <v>รายงานฉบับสมบูรณ์ (Final Report)</v>
          </cell>
        </row>
        <row r="96">
          <cell r="C96" t="str">
            <v>1) รายงานฉบับสมบูรณ์ ภาษาไทย 12 ฉบับ พร้อม CD-Rom</v>
          </cell>
          <cell r="P96">
            <v>12000</v>
          </cell>
        </row>
        <row r="97">
          <cell r="C97" t="str">
            <v>2) รายงานสรุปสำหรับผู้บริหารภาษาไทย</v>
          </cell>
          <cell r="P97">
            <v>6000</v>
          </cell>
        </row>
        <row r="98">
          <cell r="C98" t="str">
            <v>2) รายงานสรุปสำหรับผู้บริหารภาษาอังกฤษ</v>
          </cell>
          <cell r="P98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R62"/>
  <sheetViews>
    <sheetView view="pageBreakPreview" zoomScale="130" zoomScaleNormal="120" zoomScaleSheetLayoutView="130" workbookViewId="0">
      <selection activeCell="B18" sqref="B18"/>
    </sheetView>
  </sheetViews>
  <sheetFormatPr defaultColWidth="9.125" defaultRowHeight="18.75" x14ac:dyDescent="0.45"/>
  <cols>
    <col min="1" max="1" width="7.125" style="1" customWidth="1"/>
    <col min="2" max="2" width="47.25" style="1" customWidth="1"/>
    <col min="3" max="3" width="12.125" style="1" hidden="1" customWidth="1"/>
    <col min="4" max="4" width="13.25" style="1" hidden="1" customWidth="1"/>
    <col min="5" max="5" width="9.125" style="1" hidden="1" customWidth="1"/>
    <col min="6" max="6" width="14" style="1" hidden="1" customWidth="1"/>
    <col min="7" max="7" width="25.875" style="1" customWidth="1"/>
    <col min="8" max="16384" width="9.125" style="1"/>
  </cols>
  <sheetData>
    <row r="1" spans="1:252" s="43" customFormat="1" ht="23.25" x14ac:dyDescent="0.5">
      <c r="A1" s="823" t="s">
        <v>16</v>
      </c>
      <c r="B1" s="823"/>
      <c r="C1" s="823"/>
      <c r="D1" s="823"/>
      <c r="E1" s="823"/>
      <c r="F1" s="823"/>
      <c r="G1" s="823"/>
    </row>
    <row r="2" spans="1:252" x14ac:dyDescent="0.45">
      <c r="B2" s="2"/>
      <c r="C2" s="3"/>
      <c r="D2" s="3"/>
      <c r="E2" s="3"/>
      <c r="F2" s="3"/>
      <c r="G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21" customHeight="1" x14ac:dyDescent="0.45">
      <c r="A3" s="824" t="s">
        <v>189</v>
      </c>
      <c r="B3" s="826" t="s">
        <v>188</v>
      </c>
      <c r="C3" s="828" t="s">
        <v>56</v>
      </c>
      <c r="D3" s="829"/>
      <c r="E3" s="829"/>
      <c r="F3" s="829"/>
      <c r="G3" s="83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31.5" x14ac:dyDescent="0.45">
      <c r="A4" s="825"/>
      <c r="B4" s="827"/>
      <c r="C4" s="6" t="s">
        <v>256</v>
      </c>
      <c r="D4" s="6" t="s">
        <v>254</v>
      </c>
      <c r="E4" s="6" t="s">
        <v>255</v>
      </c>
      <c r="F4" s="7" t="s">
        <v>0</v>
      </c>
      <c r="G4" s="8" t="s">
        <v>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21" x14ac:dyDescent="0.45">
      <c r="A5" s="159"/>
      <c r="B5" s="165" t="s">
        <v>2</v>
      </c>
      <c r="C5" s="6"/>
      <c r="D5" s="6"/>
      <c r="E5" s="6"/>
      <c r="F5" s="7"/>
      <c r="G5" s="162">
        <f>G6+G17</f>
        <v>17890000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21" x14ac:dyDescent="0.45">
      <c r="A6" s="164">
        <v>1</v>
      </c>
      <c r="B6" s="152" t="s">
        <v>20</v>
      </c>
      <c r="C6" s="153"/>
      <c r="D6" s="153"/>
      <c r="E6" s="153"/>
      <c r="F6" s="153"/>
      <c r="G6" s="19">
        <f>G7+G13</f>
        <v>7242000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18.75" customHeight="1" x14ac:dyDescent="0.45">
      <c r="B7" s="10" t="s">
        <v>3</v>
      </c>
      <c r="C7" s="150"/>
      <c r="D7" s="150"/>
      <c r="E7" s="150"/>
      <c r="F7" s="151"/>
      <c r="G7" s="160">
        <f>SUM(G8:G12)</f>
        <v>6999000</v>
      </c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23" customFormat="1" ht="18" customHeight="1" x14ac:dyDescent="0.5">
      <c r="B8" s="31" t="s">
        <v>22</v>
      </c>
      <c r="C8" s="12">
        <v>1</v>
      </c>
      <c r="D8" s="12">
        <v>12</v>
      </c>
      <c r="E8" s="12">
        <v>3</v>
      </c>
      <c r="F8" s="14">
        <v>80000</v>
      </c>
      <c r="G8" s="17">
        <f>C8*E8*F8</f>
        <v>240000</v>
      </c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252" s="23" customFormat="1" ht="18" customHeight="1" x14ac:dyDescent="0.5">
      <c r="B9" s="31" t="s">
        <v>23</v>
      </c>
      <c r="C9" s="12">
        <v>1</v>
      </c>
      <c r="D9" s="12">
        <v>7</v>
      </c>
      <c r="E9" s="12">
        <v>7</v>
      </c>
      <c r="F9" s="18">
        <v>65000</v>
      </c>
      <c r="G9" s="17">
        <f t="shared" ref="G9:G14" si="0">C9*E9*F9</f>
        <v>455000</v>
      </c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s="23" customFormat="1" ht="18" customHeight="1" x14ac:dyDescent="0.5">
      <c r="B10" s="31" t="s">
        <v>59</v>
      </c>
      <c r="C10" s="12">
        <v>4</v>
      </c>
      <c r="D10" s="12">
        <v>10</v>
      </c>
      <c r="E10" s="12">
        <v>8</v>
      </c>
      <c r="F10" s="14">
        <v>66000</v>
      </c>
      <c r="G10" s="17">
        <f t="shared" si="0"/>
        <v>2112000</v>
      </c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s="23" customFormat="1" ht="18" customHeight="1" x14ac:dyDescent="0.5">
      <c r="B11" s="31" t="s">
        <v>58</v>
      </c>
      <c r="C11" s="12">
        <v>4</v>
      </c>
      <c r="D11" s="12">
        <v>10</v>
      </c>
      <c r="E11" s="12">
        <v>8</v>
      </c>
      <c r="F11" s="14">
        <v>66000</v>
      </c>
      <c r="G11" s="17">
        <f t="shared" ref="G11" si="1">C11*E11*F11</f>
        <v>2112000</v>
      </c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s="23" customFormat="1" ht="18" customHeight="1" x14ac:dyDescent="0.5">
      <c r="B12" s="31" t="s">
        <v>24</v>
      </c>
      <c r="C12" s="12">
        <v>4</v>
      </c>
      <c r="D12" s="12">
        <v>10</v>
      </c>
      <c r="E12" s="12">
        <v>8</v>
      </c>
      <c r="F12" s="14">
        <v>65000</v>
      </c>
      <c r="G12" s="17">
        <f t="shared" si="0"/>
        <v>2080000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 s="23" customFormat="1" ht="18" customHeight="1" x14ac:dyDescent="0.5">
      <c r="B13" s="9" t="s">
        <v>4</v>
      </c>
      <c r="C13" s="12"/>
      <c r="D13" s="13"/>
      <c r="E13" s="12"/>
      <c r="F13" s="14"/>
      <c r="G13" s="16">
        <f>SUM(G14:G15)</f>
        <v>243000</v>
      </c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252" s="23" customFormat="1" ht="18" customHeight="1" x14ac:dyDescent="0.5">
      <c r="B14" s="31" t="s">
        <v>60</v>
      </c>
      <c r="C14" s="12">
        <v>1</v>
      </c>
      <c r="D14" s="12">
        <v>2</v>
      </c>
      <c r="E14" s="12">
        <v>9</v>
      </c>
      <c r="F14" s="14">
        <v>15000</v>
      </c>
      <c r="G14" s="17">
        <f t="shared" si="0"/>
        <v>135000</v>
      </c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s="23" customFormat="1" ht="18" customHeight="1" x14ac:dyDescent="0.5">
      <c r="B15" s="31" t="s">
        <v>61</v>
      </c>
      <c r="C15" s="12">
        <v>1</v>
      </c>
      <c r="D15" s="12">
        <v>2</v>
      </c>
      <c r="E15" s="12">
        <v>9</v>
      </c>
      <c r="F15" s="14">
        <v>12000</v>
      </c>
      <c r="G15" s="17">
        <f t="shared" ref="G15" si="2">C15*E15*F15</f>
        <v>108000</v>
      </c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s="23" customFormat="1" ht="18" customHeight="1" x14ac:dyDescent="0.5">
      <c r="B16" s="154"/>
      <c r="C16" s="155"/>
      <c r="D16" s="155"/>
      <c r="E16" s="155"/>
      <c r="F16" s="156"/>
      <c r="G16" s="17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s="23" customFormat="1" ht="18" customHeight="1" x14ac:dyDescent="0.5">
      <c r="A17" s="163">
        <v>2</v>
      </c>
      <c r="B17" s="9" t="s">
        <v>5</v>
      </c>
      <c r="C17" s="13"/>
      <c r="D17" s="13"/>
      <c r="E17" s="13"/>
      <c r="F17" s="14"/>
      <c r="G17" s="19">
        <f>G18+G37+G48+G57</f>
        <v>10648000</v>
      </c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s="23" customFormat="1" ht="19.5" customHeight="1" x14ac:dyDescent="0.5">
      <c r="B18" s="15" t="s">
        <v>25</v>
      </c>
      <c r="C18" s="157"/>
      <c r="D18" s="157"/>
      <c r="E18" s="157"/>
      <c r="F18" s="158"/>
      <c r="G18" s="161">
        <f>G19+G28</f>
        <v>753760</v>
      </c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  <row r="19" spans="1:252" s="23" customFormat="1" ht="37.5" customHeight="1" x14ac:dyDescent="0.5">
      <c r="B19" s="9" t="s">
        <v>42</v>
      </c>
      <c r="C19" s="20"/>
      <c r="D19" s="21"/>
      <c r="E19" s="20"/>
      <c r="F19" s="20"/>
      <c r="G19" s="19">
        <f>SUM(G20:G26)</f>
        <v>201360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</row>
    <row r="20" spans="1:252" s="23" customFormat="1" ht="21.75" customHeight="1" x14ac:dyDescent="0.5">
      <c r="B20" s="22" t="s">
        <v>28</v>
      </c>
      <c r="C20" s="14">
        <v>200</v>
      </c>
      <c r="D20" s="14" t="s">
        <v>6</v>
      </c>
      <c r="E20" s="14"/>
      <c r="F20" s="14">
        <v>600</v>
      </c>
      <c r="G20" s="17">
        <f>C20*F20</f>
        <v>120000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</row>
    <row r="21" spans="1:252" s="23" customFormat="1" ht="21.75" customHeight="1" x14ac:dyDescent="0.5">
      <c r="B21" s="22" t="s">
        <v>64</v>
      </c>
      <c r="C21" s="14">
        <v>2</v>
      </c>
      <c r="D21" s="14" t="s">
        <v>7</v>
      </c>
      <c r="E21" s="14"/>
      <c r="F21" s="14">
        <v>15000</v>
      </c>
      <c r="G21" s="17">
        <f>C21*F21</f>
        <v>30000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</row>
    <row r="22" spans="1:252" s="23" customFormat="1" ht="21.75" customHeight="1" x14ac:dyDescent="0.5">
      <c r="B22" s="22" t="s">
        <v>67</v>
      </c>
      <c r="C22" s="14">
        <v>200</v>
      </c>
      <c r="D22" s="14" t="s">
        <v>8</v>
      </c>
      <c r="E22" s="14"/>
      <c r="F22" s="14">
        <v>70</v>
      </c>
      <c r="G22" s="17">
        <f t="shared" ref="G22:G26" si="3">C22*F22</f>
        <v>14000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</row>
    <row r="23" spans="1:252" s="23" customFormat="1" ht="21.75" customHeight="1" x14ac:dyDescent="0.5">
      <c r="B23" s="22" t="s">
        <v>15</v>
      </c>
      <c r="C23" s="14">
        <v>12</v>
      </c>
      <c r="D23" s="14" t="s">
        <v>6</v>
      </c>
      <c r="E23" s="14"/>
      <c r="F23" s="14">
        <v>1200</v>
      </c>
      <c r="G23" s="17">
        <f t="shared" si="3"/>
        <v>14400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</row>
    <row r="24" spans="1:252" s="38" customFormat="1" ht="21.75" customHeight="1" x14ac:dyDescent="0.2">
      <c r="B24" s="22" t="s">
        <v>27</v>
      </c>
      <c r="C24" s="14">
        <v>4</v>
      </c>
      <c r="D24" s="14" t="s">
        <v>26</v>
      </c>
      <c r="E24" s="14"/>
      <c r="F24" s="14">
        <v>2500</v>
      </c>
      <c r="G24" s="17">
        <f t="shared" si="3"/>
        <v>10000</v>
      </c>
    </row>
    <row r="25" spans="1:252" s="23" customFormat="1" ht="21.75" customHeight="1" x14ac:dyDescent="0.5">
      <c r="B25" s="22" t="s">
        <v>29</v>
      </c>
      <c r="C25" s="14">
        <v>6</v>
      </c>
      <c r="D25" s="14" t="s">
        <v>14</v>
      </c>
      <c r="E25" s="14"/>
      <c r="F25" s="14">
        <v>1200</v>
      </c>
      <c r="G25" s="17">
        <f>C25*F25</f>
        <v>7200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s="38" customFormat="1" ht="21.75" customHeight="1" x14ac:dyDescent="0.2">
      <c r="B26" s="22" t="s">
        <v>30</v>
      </c>
      <c r="C26" s="14">
        <v>24</v>
      </c>
      <c r="D26" s="14" t="s">
        <v>6</v>
      </c>
      <c r="E26" s="14"/>
      <c r="F26" s="14">
        <v>240</v>
      </c>
      <c r="G26" s="17">
        <f t="shared" si="3"/>
        <v>5760</v>
      </c>
    </row>
    <row r="27" spans="1:252" s="23" customFormat="1" ht="21.75" customHeight="1" x14ac:dyDescent="0.5">
      <c r="B27" s="22"/>
      <c r="C27" s="14"/>
      <c r="D27" s="14"/>
      <c r="E27" s="14"/>
      <c r="F27" s="14"/>
      <c r="G27" s="1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  <row r="28" spans="1:252" s="23" customFormat="1" ht="37.5" customHeight="1" x14ac:dyDescent="0.5">
      <c r="B28" s="9" t="s">
        <v>46</v>
      </c>
      <c r="C28" s="20"/>
      <c r="D28" s="20"/>
      <c r="E28" s="20"/>
      <c r="F28" s="20"/>
      <c r="G28" s="19">
        <f>SUM(G29:G35)</f>
        <v>552400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</row>
    <row r="29" spans="1:252" s="23" customFormat="1" ht="21.75" customHeight="1" x14ac:dyDescent="0.5">
      <c r="B29" s="22" t="s">
        <v>55</v>
      </c>
      <c r="C29" s="14">
        <v>500</v>
      </c>
      <c r="D29" s="14" t="s">
        <v>6</v>
      </c>
      <c r="E29" s="14"/>
      <c r="F29" s="14">
        <v>600</v>
      </c>
      <c r="G29" s="17">
        <f>C29*F29</f>
        <v>300000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</row>
    <row r="30" spans="1:252" s="23" customFormat="1" ht="21.75" customHeight="1" x14ac:dyDescent="0.5">
      <c r="B30" s="22" t="s">
        <v>65</v>
      </c>
      <c r="C30" s="14">
        <v>5</v>
      </c>
      <c r="D30" s="14" t="s">
        <v>7</v>
      </c>
      <c r="E30" s="14"/>
      <c r="F30" s="14">
        <v>15000</v>
      </c>
      <c r="G30" s="17">
        <f t="shared" ref="G30:G32" si="4">C30*F30</f>
        <v>75000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</row>
    <row r="31" spans="1:252" s="23" customFormat="1" ht="21.75" customHeight="1" x14ac:dyDescent="0.5">
      <c r="B31" s="22" t="s">
        <v>68</v>
      </c>
      <c r="C31" s="14">
        <v>250</v>
      </c>
      <c r="D31" s="14" t="s">
        <v>8</v>
      </c>
      <c r="E31" s="14"/>
      <c r="F31" s="14">
        <v>70</v>
      </c>
      <c r="G31" s="17">
        <f t="shared" si="4"/>
        <v>17500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</row>
    <row r="32" spans="1:252" s="23" customFormat="1" ht="21.75" customHeight="1" x14ac:dyDescent="0.5">
      <c r="B32" s="22" t="s">
        <v>43</v>
      </c>
      <c r="C32" s="14">
        <v>60</v>
      </c>
      <c r="D32" s="14" t="s">
        <v>6</v>
      </c>
      <c r="E32" s="14"/>
      <c r="F32" s="14">
        <v>1200</v>
      </c>
      <c r="G32" s="17">
        <f t="shared" si="4"/>
        <v>72000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</row>
    <row r="33" spans="2:252" s="38" customFormat="1" ht="21.75" customHeight="1" x14ac:dyDescent="0.2">
      <c r="B33" s="22" t="s">
        <v>44</v>
      </c>
      <c r="C33" s="14">
        <v>15</v>
      </c>
      <c r="D33" s="14" t="s">
        <v>26</v>
      </c>
      <c r="E33" s="14"/>
      <c r="F33" s="14">
        <v>2500</v>
      </c>
      <c r="G33" s="17">
        <f>C33*F33</f>
        <v>37500</v>
      </c>
    </row>
    <row r="34" spans="2:252" s="23" customFormat="1" ht="21.75" customHeight="1" x14ac:dyDescent="0.5">
      <c r="B34" s="22" t="s">
        <v>45</v>
      </c>
      <c r="C34" s="14">
        <v>30</v>
      </c>
      <c r="D34" s="14" t="s">
        <v>14</v>
      </c>
      <c r="E34" s="14"/>
      <c r="F34" s="14">
        <v>1200</v>
      </c>
      <c r="G34" s="17">
        <f>C34*F34</f>
        <v>36000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</row>
    <row r="35" spans="2:252" s="38" customFormat="1" ht="21.75" customHeight="1" x14ac:dyDescent="0.2">
      <c r="B35" s="22" t="s">
        <v>31</v>
      </c>
      <c r="C35" s="14">
        <v>60</v>
      </c>
      <c r="D35" s="14" t="s">
        <v>6</v>
      </c>
      <c r="E35" s="14"/>
      <c r="F35" s="14">
        <v>240</v>
      </c>
      <c r="G35" s="17">
        <f t="shared" ref="G35" si="5">C35*F35</f>
        <v>14400</v>
      </c>
    </row>
    <row r="36" spans="2:252" s="23" customFormat="1" ht="18" customHeight="1" x14ac:dyDescent="0.5">
      <c r="B36" s="22"/>
      <c r="C36" s="14"/>
      <c r="D36" s="14"/>
      <c r="E36" s="14"/>
      <c r="F36" s="14"/>
      <c r="G36" s="17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2:252" s="23" customFormat="1" ht="27" customHeight="1" x14ac:dyDescent="0.5">
      <c r="B37" s="15" t="s">
        <v>32</v>
      </c>
      <c r="C37" s="13"/>
      <c r="D37" s="13"/>
      <c r="E37" s="13"/>
      <c r="F37" s="14"/>
      <c r="G37" s="33">
        <f>G38+G44</f>
        <v>9537000</v>
      </c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</row>
    <row r="38" spans="2:252" s="38" customFormat="1" ht="21.75" x14ac:dyDescent="0.2">
      <c r="B38" s="9" t="s">
        <v>35</v>
      </c>
      <c r="C38" s="14"/>
      <c r="D38" s="14"/>
      <c r="E38" s="14"/>
      <c r="F38" s="14"/>
      <c r="G38" s="19">
        <f>SUM(G39:G42)</f>
        <v>2097000</v>
      </c>
    </row>
    <row r="39" spans="2:252" s="38" customFormat="1" ht="21" customHeight="1" x14ac:dyDescent="0.2">
      <c r="B39" s="22" t="s">
        <v>62</v>
      </c>
      <c r="C39" s="14">
        <v>270</v>
      </c>
      <c r="D39" s="14" t="s">
        <v>26</v>
      </c>
      <c r="E39" s="14"/>
      <c r="F39" s="14">
        <v>2500</v>
      </c>
      <c r="G39" s="17">
        <f>C39*F39</f>
        <v>675000</v>
      </c>
    </row>
    <row r="40" spans="2:252" s="38" customFormat="1" ht="21" customHeight="1" x14ac:dyDescent="0.2">
      <c r="B40" s="22" t="s">
        <v>63</v>
      </c>
      <c r="C40" s="14">
        <v>140</v>
      </c>
      <c r="D40" s="14" t="s">
        <v>33</v>
      </c>
      <c r="E40" s="14"/>
      <c r="F40" s="14">
        <v>5000</v>
      </c>
      <c r="G40" s="17">
        <f t="shared" ref="G40:G42" si="6">C40*F40</f>
        <v>700000</v>
      </c>
    </row>
    <row r="41" spans="2:252" s="38" customFormat="1" ht="21" customHeight="1" x14ac:dyDescent="0.2">
      <c r="B41" s="22" t="s">
        <v>57</v>
      </c>
      <c r="C41" s="14">
        <v>960</v>
      </c>
      <c r="D41" s="14" t="s">
        <v>34</v>
      </c>
      <c r="E41" s="14"/>
      <c r="F41" s="14">
        <v>750</v>
      </c>
      <c r="G41" s="17">
        <f t="shared" si="6"/>
        <v>720000</v>
      </c>
    </row>
    <row r="42" spans="2:252" s="38" customFormat="1" ht="21" customHeight="1" x14ac:dyDescent="0.2">
      <c r="B42" s="22" t="s">
        <v>36</v>
      </c>
      <c r="C42" s="14">
        <v>8</v>
      </c>
      <c r="D42" s="14" t="s">
        <v>8</v>
      </c>
      <c r="E42" s="14"/>
      <c r="F42" s="14">
        <v>250</v>
      </c>
      <c r="G42" s="17">
        <f t="shared" si="6"/>
        <v>2000</v>
      </c>
    </row>
    <row r="43" spans="2:252" s="38" customFormat="1" ht="22.5" customHeight="1" x14ac:dyDescent="0.2">
      <c r="B43" s="22"/>
      <c r="C43" s="14"/>
      <c r="D43" s="14"/>
      <c r="E43" s="14"/>
      <c r="F43" s="14"/>
      <c r="G43" s="17"/>
    </row>
    <row r="44" spans="2:252" s="38" customFormat="1" ht="21.75" x14ac:dyDescent="0.2">
      <c r="B44" s="9" t="s">
        <v>37</v>
      </c>
      <c r="C44" s="14"/>
      <c r="D44" s="14"/>
      <c r="E44" s="14"/>
      <c r="F44" s="14"/>
      <c r="G44" s="19">
        <f>SUM(G45:G46)</f>
        <v>7440000</v>
      </c>
    </row>
    <row r="45" spans="2:252" s="38" customFormat="1" ht="21.75" x14ac:dyDescent="0.5">
      <c r="B45" s="22" t="s">
        <v>38</v>
      </c>
      <c r="C45" s="14">
        <v>2000</v>
      </c>
      <c r="D45" s="27" t="s">
        <v>9</v>
      </c>
      <c r="E45" s="14"/>
      <c r="F45" s="14">
        <v>3600</v>
      </c>
      <c r="G45" s="17">
        <f t="shared" ref="G45" si="7">C45*F45</f>
        <v>7200000</v>
      </c>
    </row>
    <row r="46" spans="2:252" s="38" customFormat="1" ht="43.5" x14ac:dyDescent="0.2">
      <c r="B46" s="22" t="s">
        <v>54</v>
      </c>
      <c r="C46" s="14">
        <v>100</v>
      </c>
      <c r="D46" s="14" t="s">
        <v>6</v>
      </c>
      <c r="E46" s="14"/>
      <c r="F46" s="14">
        <v>2400</v>
      </c>
      <c r="G46" s="17">
        <f t="shared" ref="G46" si="8">C46*F46</f>
        <v>240000</v>
      </c>
    </row>
    <row r="47" spans="2:252" s="38" customFormat="1" ht="21.75" x14ac:dyDescent="0.5">
      <c r="B47" s="22"/>
      <c r="C47" s="14"/>
      <c r="D47" s="27"/>
      <c r="E47" s="14"/>
      <c r="F47" s="14"/>
      <c r="G47" s="17"/>
    </row>
    <row r="48" spans="2:252" s="38" customFormat="1" ht="37.5" x14ac:dyDescent="0.45">
      <c r="B48" s="34" t="s">
        <v>47</v>
      </c>
      <c r="C48" s="36"/>
      <c r="D48" s="36"/>
      <c r="E48" s="36"/>
      <c r="F48" s="37"/>
      <c r="G48" s="33">
        <f>SUM(G49:G55)</f>
        <v>334840</v>
      </c>
    </row>
    <row r="49" spans="2:9" s="38" customFormat="1" ht="21.75" x14ac:dyDescent="0.2">
      <c r="B49" s="22" t="s">
        <v>48</v>
      </c>
      <c r="C49" s="14">
        <v>600</v>
      </c>
      <c r="D49" s="14" t="s">
        <v>39</v>
      </c>
      <c r="E49" s="14"/>
      <c r="F49" s="14">
        <v>450</v>
      </c>
      <c r="G49" s="17">
        <f t="shared" ref="G49:G54" si="9">C49*F49</f>
        <v>270000</v>
      </c>
    </row>
    <row r="50" spans="2:9" s="38" customFormat="1" ht="21.75" x14ac:dyDescent="0.2">
      <c r="B50" s="22" t="s">
        <v>49</v>
      </c>
      <c r="C50" s="14">
        <v>350</v>
      </c>
      <c r="D50" s="14" t="s">
        <v>8</v>
      </c>
      <c r="E50" s="14"/>
      <c r="F50" s="14">
        <v>10</v>
      </c>
      <c r="G50" s="17">
        <f t="shared" si="9"/>
        <v>3500</v>
      </c>
    </row>
    <row r="51" spans="2:9" s="38" customFormat="1" ht="43.5" x14ac:dyDescent="0.2">
      <c r="B51" s="22" t="s">
        <v>50</v>
      </c>
      <c r="C51" s="14">
        <v>350</v>
      </c>
      <c r="D51" s="14" t="s">
        <v>8</v>
      </c>
      <c r="E51" s="14"/>
      <c r="F51" s="14">
        <v>10</v>
      </c>
      <c r="G51" s="17">
        <f t="shared" si="9"/>
        <v>3500</v>
      </c>
    </row>
    <row r="52" spans="2:9" s="38" customFormat="1" ht="21.75" x14ac:dyDescent="0.2">
      <c r="B52" s="22" t="s">
        <v>51</v>
      </c>
      <c r="C52" s="14">
        <v>500</v>
      </c>
      <c r="D52" s="14" t="s">
        <v>40</v>
      </c>
      <c r="E52" s="14"/>
      <c r="F52" s="14">
        <v>2.13</v>
      </c>
      <c r="G52" s="17">
        <f t="shared" si="9"/>
        <v>1065</v>
      </c>
    </row>
    <row r="53" spans="2:9" s="38" customFormat="1" ht="21.75" x14ac:dyDescent="0.2">
      <c r="B53" s="22" t="s">
        <v>52</v>
      </c>
      <c r="C53" s="14">
        <v>200</v>
      </c>
      <c r="D53" s="14" t="s">
        <v>40</v>
      </c>
      <c r="E53" s="14"/>
      <c r="F53" s="14">
        <v>6</v>
      </c>
      <c r="G53" s="17">
        <f t="shared" si="9"/>
        <v>1200</v>
      </c>
    </row>
    <row r="54" spans="2:9" s="38" customFormat="1" ht="21.75" x14ac:dyDescent="0.2">
      <c r="B54" s="22" t="s">
        <v>53</v>
      </c>
      <c r="C54" s="14">
        <v>100</v>
      </c>
      <c r="D54" s="14" t="s">
        <v>40</v>
      </c>
      <c r="E54" s="14"/>
      <c r="F54" s="14">
        <v>200</v>
      </c>
      <c r="G54" s="17">
        <f t="shared" si="9"/>
        <v>20000</v>
      </c>
    </row>
    <row r="55" spans="2:9" s="38" customFormat="1" ht="43.5" x14ac:dyDescent="0.2">
      <c r="B55" s="22" t="s">
        <v>66</v>
      </c>
      <c r="C55" s="14"/>
      <c r="D55" s="14"/>
      <c r="E55" s="14"/>
      <c r="F55" s="14" t="s">
        <v>41</v>
      </c>
      <c r="G55" s="17">
        <v>35575</v>
      </c>
      <c r="I55" s="40"/>
    </row>
    <row r="56" spans="2:9" s="38" customFormat="1" ht="21.75" x14ac:dyDescent="0.5">
      <c r="B56" s="22"/>
      <c r="C56" s="14"/>
      <c r="D56" s="27"/>
      <c r="E56" s="14"/>
      <c r="F56" s="14"/>
      <c r="G56" s="17"/>
    </row>
    <row r="57" spans="2:9" s="29" customFormat="1" ht="18" customHeight="1" x14ac:dyDescent="0.5">
      <c r="B57" s="34" t="s">
        <v>21</v>
      </c>
      <c r="C57" s="27"/>
      <c r="D57" s="27"/>
      <c r="E57" s="27"/>
      <c r="F57" s="28"/>
      <c r="G57" s="33">
        <f>SUM(G58:G61)</f>
        <v>22400</v>
      </c>
    </row>
    <row r="58" spans="2:9" s="29" customFormat="1" ht="18" customHeight="1" x14ac:dyDescent="0.5">
      <c r="B58" s="32" t="s">
        <v>11</v>
      </c>
      <c r="C58" s="27">
        <v>8</v>
      </c>
      <c r="D58" s="27" t="s">
        <v>9</v>
      </c>
      <c r="E58" s="27"/>
      <c r="F58" s="28">
        <v>500</v>
      </c>
      <c r="G58" s="17">
        <f t="shared" ref="G58:G61" si="10">C58*F58</f>
        <v>4000</v>
      </c>
    </row>
    <row r="59" spans="2:9" s="29" customFormat="1" ht="18" customHeight="1" x14ac:dyDescent="0.5">
      <c r="B59" s="32" t="s">
        <v>12</v>
      </c>
      <c r="C59" s="27">
        <v>8</v>
      </c>
      <c r="D59" s="27" t="s">
        <v>9</v>
      </c>
      <c r="E59" s="27"/>
      <c r="F59" s="28">
        <v>500</v>
      </c>
      <c r="G59" s="17">
        <f t="shared" si="10"/>
        <v>4000</v>
      </c>
    </row>
    <row r="60" spans="2:9" s="29" customFormat="1" ht="18" customHeight="1" x14ac:dyDescent="0.5">
      <c r="B60" s="32" t="s">
        <v>13</v>
      </c>
      <c r="C60" s="27">
        <v>8</v>
      </c>
      <c r="D60" s="27" t="s">
        <v>9</v>
      </c>
      <c r="E60" s="27"/>
      <c r="F60" s="28">
        <v>800</v>
      </c>
      <c r="G60" s="17">
        <f t="shared" si="10"/>
        <v>6400</v>
      </c>
    </row>
    <row r="61" spans="2:9" s="29" customFormat="1" ht="18" customHeight="1" x14ac:dyDescent="0.5">
      <c r="B61" s="32" t="s">
        <v>10</v>
      </c>
      <c r="C61" s="27">
        <v>8</v>
      </c>
      <c r="D61" s="27" t="s">
        <v>9</v>
      </c>
      <c r="E61" s="27"/>
      <c r="F61" s="28">
        <v>1000</v>
      </c>
      <c r="G61" s="17">
        <f t="shared" si="10"/>
        <v>8000</v>
      </c>
    </row>
    <row r="62" spans="2:9" s="23" customFormat="1" ht="18" customHeight="1" x14ac:dyDescent="0.5">
      <c r="B62" s="35"/>
      <c r="C62" s="35"/>
      <c r="D62" s="39"/>
      <c r="E62" s="35"/>
      <c r="F62" s="35"/>
      <c r="G62" s="35"/>
      <c r="H62" s="30"/>
    </row>
  </sheetData>
  <mergeCells count="4">
    <mergeCell ref="A1:G1"/>
    <mergeCell ref="A3:A4"/>
    <mergeCell ref="B3:B4"/>
    <mergeCell ref="C3:G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7"/>
  <sheetViews>
    <sheetView workbookViewId="0">
      <selection activeCell="B17" sqref="B17"/>
    </sheetView>
  </sheetViews>
  <sheetFormatPr defaultColWidth="9" defaultRowHeight="21.75" x14ac:dyDescent="0.5"/>
  <cols>
    <col min="1" max="1" width="5.375" style="51" customWidth="1"/>
    <col min="2" max="2" width="106.25" style="43" bestFit="1" customWidth="1"/>
    <col min="3" max="3" width="19.375" style="461" customWidth="1"/>
    <col min="4" max="16384" width="9" style="43"/>
  </cols>
  <sheetData>
    <row r="1" spans="1:5" ht="24" thickBot="1" x14ac:dyDescent="0.55000000000000004">
      <c r="A1" s="823" t="s">
        <v>16</v>
      </c>
      <c r="B1" s="823"/>
      <c r="C1" s="823"/>
    </row>
    <row r="2" spans="1:5" s="51" customFormat="1" ht="84.75" thickBot="1" x14ac:dyDescent="0.4">
      <c r="A2" s="391"/>
      <c r="B2" s="815" t="s">
        <v>1378</v>
      </c>
      <c r="C2" s="821" t="s">
        <v>1</v>
      </c>
    </row>
    <row r="3" spans="1:5" ht="24" thickBot="1" x14ac:dyDescent="0.55000000000000004">
      <c r="A3" s="392"/>
      <c r="B3" s="817" t="s">
        <v>2</v>
      </c>
      <c r="C3" s="393">
        <f>C5+C13+C20+C27+C34+C43+C50+C60+C71+C40</f>
        <v>2351260</v>
      </c>
      <c r="D3" s="394"/>
    </row>
    <row r="4" spans="1:5" s="82" customFormat="1" ht="24.75" thickBot="1" x14ac:dyDescent="0.25">
      <c r="A4" s="816">
        <v>1</v>
      </c>
      <c r="B4" s="818" t="s">
        <v>491</v>
      </c>
      <c r="C4" s="398"/>
    </row>
    <row r="5" spans="1:5" s="82" customFormat="1" ht="22.5" thickBot="1" x14ac:dyDescent="0.25">
      <c r="A5" s="399">
        <v>1.1000000000000001</v>
      </c>
      <c r="B5" s="400" t="s">
        <v>492</v>
      </c>
      <c r="C5" s="401">
        <f>SUM(C6:C11)</f>
        <v>54900</v>
      </c>
    </row>
    <row r="6" spans="1:5" s="82" customFormat="1" ht="24" x14ac:dyDescent="0.2">
      <c r="A6" s="395"/>
      <c r="B6" s="402" t="s">
        <v>493</v>
      </c>
      <c r="C6" s="403">
        <v>5000</v>
      </c>
    </row>
    <row r="7" spans="1:5" s="82" customFormat="1" ht="24" x14ac:dyDescent="0.2">
      <c r="A7" s="404"/>
      <c r="B7" s="90" t="s">
        <v>494</v>
      </c>
      <c r="C7" s="405">
        <v>10000</v>
      </c>
    </row>
    <row r="8" spans="1:5" s="70" customFormat="1" ht="24" x14ac:dyDescent="0.55000000000000004">
      <c r="A8" s="396"/>
      <c r="B8" s="90" t="s">
        <v>495</v>
      </c>
      <c r="C8" s="397">
        <v>30000</v>
      </c>
    </row>
    <row r="9" spans="1:5" s="70" customFormat="1" ht="24" x14ac:dyDescent="0.55000000000000004">
      <c r="A9" s="396"/>
      <c r="B9" s="406" t="s">
        <v>496</v>
      </c>
      <c r="C9" s="397">
        <v>2400</v>
      </c>
    </row>
    <row r="10" spans="1:5" s="70" customFormat="1" ht="24" x14ac:dyDescent="0.55000000000000004">
      <c r="A10" s="396"/>
      <c r="B10" s="406" t="s">
        <v>497</v>
      </c>
      <c r="C10" s="397">
        <v>4000</v>
      </c>
    </row>
    <row r="11" spans="1:5" s="70" customFormat="1" ht="24" x14ac:dyDescent="0.55000000000000004">
      <c r="A11" s="396"/>
      <c r="B11" s="90" t="s">
        <v>498</v>
      </c>
      <c r="C11" s="397">
        <v>3500</v>
      </c>
    </row>
    <row r="12" spans="1:5" s="70" customFormat="1" ht="24.75" thickBot="1" x14ac:dyDescent="0.6">
      <c r="A12" s="407"/>
      <c r="C12" s="408"/>
    </row>
    <row r="13" spans="1:5" s="82" customFormat="1" ht="23.25" customHeight="1" x14ac:dyDescent="0.2">
      <c r="A13" s="409">
        <v>1.2</v>
      </c>
      <c r="B13" s="410" t="s">
        <v>499</v>
      </c>
      <c r="C13" s="411">
        <f>SUM(C15:C18)</f>
        <v>27700</v>
      </c>
      <c r="E13" s="412"/>
    </row>
    <row r="14" spans="1:5" s="82" customFormat="1" ht="23.25" customHeight="1" thickBot="1" x14ac:dyDescent="0.25">
      <c r="A14" s="413"/>
      <c r="B14" s="414" t="s">
        <v>500</v>
      </c>
      <c r="C14" s="415"/>
      <c r="E14" s="412"/>
    </row>
    <row r="15" spans="1:5" s="82" customFormat="1" ht="23.25" customHeight="1" x14ac:dyDescent="0.2">
      <c r="A15" s="416"/>
      <c r="B15" s="417" t="s">
        <v>501</v>
      </c>
      <c r="C15" s="418">
        <v>15000</v>
      </c>
      <c r="E15" s="412"/>
    </row>
    <row r="16" spans="1:5" s="82" customFormat="1" ht="23.25" customHeight="1" x14ac:dyDescent="0.2">
      <c r="A16" s="419"/>
      <c r="B16" s="83" t="s">
        <v>502</v>
      </c>
      <c r="C16" s="420">
        <v>3000</v>
      </c>
      <c r="E16" s="412"/>
    </row>
    <row r="17" spans="1:5" s="82" customFormat="1" ht="23.25" customHeight="1" x14ac:dyDescent="0.2">
      <c r="A17" s="419"/>
      <c r="B17" s="83" t="s">
        <v>503</v>
      </c>
      <c r="C17" s="420">
        <v>9000</v>
      </c>
      <c r="E17" s="412"/>
    </row>
    <row r="18" spans="1:5" s="82" customFormat="1" ht="23.25" customHeight="1" x14ac:dyDescent="0.2">
      <c r="A18" s="419"/>
      <c r="B18" s="83" t="s">
        <v>504</v>
      </c>
      <c r="C18" s="420">
        <v>700</v>
      </c>
      <c r="E18" s="412"/>
    </row>
    <row r="19" spans="1:5" s="82" customFormat="1" ht="23.25" customHeight="1" thickBot="1" x14ac:dyDescent="0.25">
      <c r="A19" s="421"/>
      <c r="B19" s="422"/>
      <c r="C19" s="423"/>
      <c r="E19" s="412"/>
    </row>
    <row r="20" spans="1:5" s="82" customFormat="1" ht="23.25" customHeight="1" x14ac:dyDescent="0.2">
      <c r="A20" s="409">
        <v>1.3</v>
      </c>
      <c r="B20" s="410" t="s">
        <v>505</v>
      </c>
      <c r="C20" s="411">
        <f>SUM(C22:C25)</f>
        <v>28500</v>
      </c>
      <c r="E20" s="412"/>
    </row>
    <row r="21" spans="1:5" s="82" customFormat="1" ht="23.25" customHeight="1" thickBot="1" x14ac:dyDescent="0.25">
      <c r="A21" s="413"/>
      <c r="B21" s="414" t="s">
        <v>506</v>
      </c>
      <c r="C21" s="415"/>
      <c r="E21" s="412"/>
    </row>
    <row r="22" spans="1:5" s="82" customFormat="1" ht="23.25" customHeight="1" x14ac:dyDescent="0.2">
      <c r="A22" s="416"/>
      <c r="B22" s="417" t="s">
        <v>507</v>
      </c>
      <c r="C22" s="418">
        <v>5000</v>
      </c>
      <c r="E22" s="412"/>
    </row>
    <row r="23" spans="1:5" s="82" customFormat="1" ht="23.25" customHeight="1" x14ac:dyDescent="0.2">
      <c r="A23" s="419"/>
      <c r="B23" s="83" t="s">
        <v>508</v>
      </c>
      <c r="C23" s="420">
        <v>5000</v>
      </c>
      <c r="E23" s="412"/>
    </row>
    <row r="24" spans="1:5" s="82" customFormat="1" ht="23.25" customHeight="1" x14ac:dyDescent="0.2">
      <c r="A24" s="419"/>
      <c r="B24" s="83" t="s">
        <v>509</v>
      </c>
      <c r="C24" s="420">
        <v>15000</v>
      </c>
      <c r="E24" s="412"/>
    </row>
    <row r="25" spans="1:5" s="82" customFormat="1" ht="23.25" customHeight="1" x14ac:dyDescent="0.2">
      <c r="A25" s="419"/>
      <c r="B25" s="83" t="s">
        <v>510</v>
      </c>
      <c r="C25" s="420">
        <v>3500</v>
      </c>
      <c r="E25" s="412"/>
    </row>
    <row r="26" spans="1:5" s="82" customFormat="1" ht="23.25" customHeight="1" thickBot="1" x14ac:dyDescent="0.25">
      <c r="A26" s="421"/>
      <c r="B26" s="422"/>
      <c r="C26" s="423"/>
      <c r="E26" s="412"/>
    </row>
    <row r="27" spans="1:5" s="82" customFormat="1" ht="22.9" customHeight="1" x14ac:dyDescent="0.2">
      <c r="A27" s="409">
        <v>1.4</v>
      </c>
      <c r="B27" s="410" t="s">
        <v>511</v>
      </c>
      <c r="C27" s="411">
        <f>SUM(C29:C32)</f>
        <v>642600</v>
      </c>
      <c r="E27" s="412"/>
    </row>
    <row r="28" spans="1:5" s="82" customFormat="1" ht="22.9" customHeight="1" thickBot="1" x14ac:dyDescent="0.25">
      <c r="A28" s="413"/>
      <c r="B28" s="414" t="s">
        <v>512</v>
      </c>
      <c r="C28" s="415"/>
      <c r="E28" s="412"/>
    </row>
    <row r="29" spans="1:5" s="82" customFormat="1" ht="22.9" customHeight="1" x14ac:dyDescent="0.2">
      <c r="A29" s="395"/>
      <c r="B29" s="417" t="s">
        <v>513</v>
      </c>
      <c r="C29" s="403">
        <v>129600</v>
      </c>
      <c r="E29" s="412"/>
    </row>
    <row r="30" spans="1:5" s="82" customFormat="1" ht="22.9" customHeight="1" x14ac:dyDescent="0.2">
      <c r="A30" s="404"/>
      <c r="B30" s="83" t="s">
        <v>514</v>
      </c>
      <c r="C30" s="405">
        <v>216000</v>
      </c>
      <c r="E30" s="412"/>
    </row>
    <row r="31" spans="1:5" s="82" customFormat="1" ht="22.9" customHeight="1" x14ac:dyDescent="0.2">
      <c r="A31" s="404"/>
      <c r="B31" s="83" t="s">
        <v>515</v>
      </c>
      <c r="C31" s="405">
        <v>270000</v>
      </c>
      <c r="E31" s="412"/>
    </row>
    <row r="32" spans="1:5" s="82" customFormat="1" ht="22.9" customHeight="1" x14ac:dyDescent="0.2">
      <c r="A32" s="404"/>
      <c r="B32" s="83" t="s">
        <v>516</v>
      </c>
      <c r="C32" s="405">
        <v>27000</v>
      </c>
      <c r="E32" s="412"/>
    </row>
    <row r="33" spans="1:5" s="82" customFormat="1" ht="22.9" customHeight="1" thickBot="1" x14ac:dyDescent="0.25">
      <c r="A33" s="424"/>
      <c r="B33" s="422"/>
      <c r="C33" s="425"/>
      <c r="E33" s="412"/>
    </row>
    <row r="34" spans="1:5" s="82" customFormat="1" ht="22.9" customHeight="1" thickBot="1" x14ac:dyDescent="0.25">
      <c r="A34" s="399">
        <v>1.5</v>
      </c>
      <c r="B34" s="426" t="s">
        <v>517</v>
      </c>
      <c r="C34" s="427">
        <f>SUM(C35:C38)</f>
        <v>1053000</v>
      </c>
      <c r="E34" s="412"/>
    </row>
    <row r="35" spans="1:5" s="82" customFormat="1" ht="22.9" customHeight="1" x14ac:dyDescent="0.2">
      <c r="A35" s="395"/>
      <c r="B35" s="417" t="s">
        <v>518</v>
      </c>
      <c r="C35" s="403">
        <v>216000</v>
      </c>
      <c r="E35" s="412"/>
    </row>
    <row r="36" spans="1:5" s="82" customFormat="1" ht="22.9" customHeight="1" x14ac:dyDescent="0.2">
      <c r="A36" s="404"/>
      <c r="B36" s="83" t="s">
        <v>519</v>
      </c>
      <c r="C36" s="405">
        <v>360000</v>
      </c>
      <c r="E36" s="412"/>
    </row>
    <row r="37" spans="1:5" s="82" customFormat="1" ht="22.9" customHeight="1" x14ac:dyDescent="0.2">
      <c r="A37" s="404"/>
      <c r="B37" s="83" t="s">
        <v>520</v>
      </c>
      <c r="C37" s="405">
        <v>450000</v>
      </c>
      <c r="E37" s="412"/>
    </row>
    <row r="38" spans="1:5" s="82" customFormat="1" ht="22.9" customHeight="1" x14ac:dyDescent="0.2">
      <c r="A38" s="404"/>
      <c r="B38" s="83" t="s">
        <v>516</v>
      </c>
      <c r="C38" s="405">
        <v>27000</v>
      </c>
      <c r="E38" s="412"/>
    </row>
    <row r="39" spans="1:5" s="82" customFormat="1" ht="22.9" customHeight="1" x14ac:dyDescent="0.2">
      <c r="A39" s="424"/>
      <c r="B39" s="422"/>
      <c r="C39" s="425"/>
      <c r="E39" s="412"/>
    </row>
    <row r="40" spans="1:5" s="82" customFormat="1" ht="22.9" customHeight="1" x14ac:dyDescent="0.2">
      <c r="A40" s="424">
        <v>1.6</v>
      </c>
      <c r="B40" s="428" t="s">
        <v>521</v>
      </c>
      <c r="C40" s="429">
        <f>C41</f>
        <v>250000</v>
      </c>
      <c r="E40" s="412"/>
    </row>
    <row r="41" spans="1:5" s="82" customFormat="1" ht="22.9" customHeight="1" x14ac:dyDescent="0.2">
      <c r="A41" s="424"/>
      <c r="B41" s="422" t="s">
        <v>522</v>
      </c>
      <c r="C41" s="425">
        <v>250000</v>
      </c>
      <c r="E41" s="412"/>
    </row>
    <row r="42" spans="1:5" s="82" customFormat="1" ht="22.9" customHeight="1" thickBot="1" x14ac:dyDescent="0.25">
      <c r="A42" s="424"/>
      <c r="B42" s="422"/>
      <c r="C42" s="425"/>
      <c r="E42" s="412"/>
    </row>
    <row r="43" spans="1:5" s="82" customFormat="1" ht="22.9" customHeight="1" x14ac:dyDescent="0.2">
      <c r="A43" s="409">
        <v>1.7</v>
      </c>
      <c r="B43" s="430" t="s">
        <v>523</v>
      </c>
      <c r="C43" s="431">
        <f>SUM(C45:C48)</f>
        <v>130160</v>
      </c>
      <c r="E43" s="412"/>
    </row>
    <row r="44" spans="1:5" s="82" customFormat="1" ht="22.9" customHeight="1" thickBot="1" x14ac:dyDescent="0.25">
      <c r="A44" s="413"/>
      <c r="B44" s="432" t="s">
        <v>524</v>
      </c>
      <c r="C44" s="433"/>
      <c r="E44" s="412"/>
    </row>
    <row r="45" spans="1:5" s="82" customFormat="1" ht="22.9" customHeight="1" x14ac:dyDescent="0.2">
      <c r="A45" s="395"/>
      <c r="B45" s="417" t="s">
        <v>525</v>
      </c>
      <c r="C45" s="403">
        <v>34560</v>
      </c>
      <c r="E45" s="412"/>
    </row>
    <row r="46" spans="1:5" s="82" customFormat="1" ht="22.9" customHeight="1" x14ac:dyDescent="0.2">
      <c r="A46" s="404"/>
      <c r="B46" s="83" t="s">
        <v>526</v>
      </c>
      <c r="C46" s="405">
        <v>57600</v>
      </c>
      <c r="E46" s="412"/>
    </row>
    <row r="47" spans="1:5" s="82" customFormat="1" ht="22.9" customHeight="1" x14ac:dyDescent="0.2">
      <c r="A47" s="404"/>
      <c r="B47" s="83" t="s">
        <v>527</v>
      </c>
      <c r="C47" s="405">
        <v>36000</v>
      </c>
      <c r="E47" s="412"/>
    </row>
    <row r="48" spans="1:5" s="82" customFormat="1" ht="22.9" customHeight="1" x14ac:dyDescent="0.2">
      <c r="A48" s="404"/>
      <c r="B48" s="83" t="s">
        <v>528</v>
      </c>
      <c r="C48" s="405">
        <v>2000</v>
      </c>
      <c r="E48" s="412"/>
    </row>
    <row r="49" spans="1:5" s="82" customFormat="1" ht="22.9" customHeight="1" thickBot="1" x14ac:dyDescent="0.25">
      <c r="A49" s="424"/>
      <c r="B49" s="422"/>
      <c r="C49" s="425"/>
      <c r="E49" s="412"/>
    </row>
    <row r="50" spans="1:5" s="82" customFormat="1" ht="22.9" customHeight="1" thickBot="1" x14ac:dyDescent="0.25">
      <c r="A50" s="399">
        <v>1.8</v>
      </c>
      <c r="B50" s="434" t="s">
        <v>529</v>
      </c>
      <c r="C50" s="427">
        <f>SUM(C51:C58)</f>
        <v>107200</v>
      </c>
      <c r="E50" s="412"/>
    </row>
    <row r="51" spans="1:5" s="82" customFormat="1" ht="22.9" customHeight="1" x14ac:dyDescent="0.2">
      <c r="A51" s="395"/>
      <c r="B51" s="417" t="s">
        <v>530</v>
      </c>
      <c r="C51" s="403">
        <v>5000</v>
      </c>
      <c r="E51" s="412"/>
    </row>
    <row r="52" spans="1:5" s="82" customFormat="1" ht="22.9" customHeight="1" x14ac:dyDescent="0.2">
      <c r="A52" s="404"/>
      <c r="B52" s="83" t="s">
        <v>531</v>
      </c>
      <c r="C52" s="405">
        <v>5000</v>
      </c>
      <c r="E52" s="412"/>
    </row>
    <row r="53" spans="1:5" s="82" customFormat="1" ht="22.9" customHeight="1" x14ac:dyDescent="0.2">
      <c r="A53" s="404"/>
      <c r="B53" s="83" t="s">
        <v>532</v>
      </c>
      <c r="C53" s="405">
        <v>20000</v>
      </c>
      <c r="E53" s="412"/>
    </row>
    <row r="54" spans="1:5" s="82" customFormat="1" ht="22.9" customHeight="1" x14ac:dyDescent="0.2">
      <c r="A54" s="404"/>
      <c r="B54" s="83" t="s">
        <v>533</v>
      </c>
      <c r="C54" s="405">
        <v>25200</v>
      </c>
      <c r="E54" s="412"/>
    </row>
    <row r="55" spans="1:5" s="82" customFormat="1" ht="22.9" customHeight="1" x14ac:dyDescent="0.2">
      <c r="A55" s="404"/>
      <c r="B55" s="83" t="s">
        <v>534</v>
      </c>
      <c r="C55" s="405">
        <v>5000</v>
      </c>
      <c r="E55" s="412"/>
    </row>
    <row r="56" spans="1:5" s="82" customFormat="1" ht="22.9" customHeight="1" x14ac:dyDescent="0.2">
      <c r="A56" s="404"/>
      <c r="B56" s="83" t="s">
        <v>535</v>
      </c>
      <c r="C56" s="405">
        <v>10000</v>
      </c>
      <c r="E56" s="412"/>
    </row>
    <row r="57" spans="1:5" s="82" customFormat="1" ht="22.9" customHeight="1" x14ac:dyDescent="0.2">
      <c r="A57" s="404"/>
      <c r="B57" s="83" t="s">
        <v>536</v>
      </c>
      <c r="C57" s="405">
        <v>30000</v>
      </c>
      <c r="E57" s="412"/>
    </row>
    <row r="58" spans="1:5" s="82" customFormat="1" ht="22.9" customHeight="1" x14ac:dyDescent="0.2">
      <c r="A58" s="404"/>
      <c r="B58" s="83" t="s">
        <v>537</v>
      </c>
      <c r="C58" s="405">
        <v>7000</v>
      </c>
      <c r="E58" s="412"/>
    </row>
    <row r="59" spans="1:5" s="82" customFormat="1" ht="22.9" customHeight="1" thickBot="1" x14ac:dyDescent="0.25">
      <c r="A59" s="424"/>
      <c r="B59" s="422"/>
      <c r="C59" s="425"/>
      <c r="E59" s="412"/>
    </row>
    <row r="60" spans="1:5" s="82" customFormat="1" ht="22.9" customHeight="1" x14ac:dyDescent="0.2">
      <c r="A60" s="819">
        <v>1.9</v>
      </c>
      <c r="B60" s="435" t="s">
        <v>538</v>
      </c>
      <c r="C60" s="431">
        <f>SUM(C62:C69)</f>
        <v>53000</v>
      </c>
      <c r="E60" s="412"/>
    </row>
    <row r="61" spans="1:5" s="439" customFormat="1" ht="22.9" customHeight="1" thickBot="1" x14ac:dyDescent="0.25">
      <c r="A61" s="436"/>
      <c r="B61" s="437" t="s">
        <v>539</v>
      </c>
      <c r="C61" s="438"/>
      <c r="E61" s="440"/>
    </row>
    <row r="62" spans="1:5" s="439" customFormat="1" ht="22.9" customHeight="1" x14ac:dyDescent="0.2">
      <c r="A62" s="441"/>
      <c r="B62" s="442" t="s">
        <v>540</v>
      </c>
      <c r="C62" s="443">
        <v>5000</v>
      </c>
      <c r="E62" s="440"/>
    </row>
    <row r="63" spans="1:5" s="439" customFormat="1" ht="22.9" customHeight="1" x14ac:dyDescent="0.2">
      <c r="A63" s="444"/>
      <c r="B63" s="442" t="s">
        <v>541</v>
      </c>
      <c r="C63" s="445">
        <v>8000</v>
      </c>
      <c r="E63" s="440"/>
    </row>
    <row r="64" spans="1:5" s="439" customFormat="1" ht="22.9" customHeight="1" x14ac:dyDescent="0.2">
      <c r="A64" s="444"/>
      <c r="B64" s="442" t="s">
        <v>542</v>
      </c>
      <c r="C64" s="445">
        <v>8000</v>
      </c>
      <c r="E64" s="440"/>
    </row>
    <row r="65" spans="1:5" s="439" customFormat="1" ht="22.9" customHeight="1" x14ac:dyDescent="0.2">
      <c r="A65" s="444"/>
      <c r="B65" s="446" t="s">
        <v>543</v>
      </c>
      <c r="C65" s="445">
        <v>8000</v>
      </c>
      <c r="E65" s="440"/>
    </row>
    <row r="66" spans="1:5" s="439" customFormat="1" ht="22.9" customHeight="1" x14ac:dyDescent="0.2">
      <c r="A66" s="444"/>
      <c r="B66" s="447" t="s">
        <v>10</v>
      </c>
      <c r="C66" s="445"/>
      <c r="E66" s="440"/>
    </row>
    <row r="67" spans="1:5" s="439" customFormat="1" ht="22.9" customHeight="1" x14ac:dyDescent="0.2">
      <c r="A67" s="444"/>
      <c r="B67" s="442" t="s">
        <v>544</v>
      </c>
      <c r="C67" s="445">
        <v>8000</v>
      </c>
      <c r="E67" s="440"/>
    </row>
    <row r="68" spans="1:5" s="439" customFormat="1" ht="22.9" customHeight="1" x14ac:dyDescent="0.2">
      <c r="A68" s="444"/>
      <c r="B68" s="442" t="s">
        <v>545</v>
      </c>
      <c r="C68" s="445">
        <v>8000</v>
      </c>
      <c r="E68" s="440"/>
    </row>
    <row r="69" spans="1:5" s="439" customFormat="1" ht="22.9" customHeight="1" x14ac:dyDescent="0.2">
      <c r="A69" s="444"/>
      <c r="B69" s="442" t="s">
        <v>546</v>
      </c>
      <c r="C69" s="445">
        <v>8000</v>
      </c>
      <c r="E69" s="440"/>
    </row>
    <row r="70" spans="1:5" s="82" customFormat="1" ht="22.9" customHeight="1" thickBot="1" x14ac:dyDescent="0.25">
      <c r="A70" s="424"/>
      <c r="B70" s="428"/>
      <c r="C70" s="425"/>
      <c r="E70" s="412"/>
    </row>
    <row r="71" spans="1:5" s="82" customFormat="1" ht="23.25" customHeight="1" thickBot="1" x14ac:dyDescent="0.25">
      <c r="A71" s="820">
        <v>1.1000000000000001</v>
      </c>
      <c r="B71" s="448" t="s">
        <v>187</v>
      </c>
      <c r="C71" s="427">
        <v>4200</v>
      </c>
      <c r="E71" s="412"/>
    </row>
    <row r="72" spans="1:5" s="82" customFormat="1" ht="23.25" customHeight="1" thickBot="1" x14ac:dyDescent="0.25">
      <c r="A72" s="449"/>
      <c r="B72" s="417"/>
      <c r="C72" s="450"/>
      <c r="E72" s="412"/>
    </row>
    <row r="73" spans="1:5" ht="23.25" x14ac:dyDescent="0.5">
      <c r="A73" s="451"/>
      <c r="B73" s="452" t="s">
        <v>547</v>
      </c>
      <c r="C73" s="453">
        <f>C71+C60+C50+C43+C40+C34+C27+C20+C13+C5</f>
        <v>2351260</v>
      </c>
    </row>
    <row r="74" spans="1:5" x14ac:dyDescent="0.5">
      <c r="A74" s="454"/>
      <c r="B74" s="455" t="str">
        <f>BAHTTEXT(C73)</f>
        <v>สองล้านสามแสนห้าหมื่นหนึ่งพันสองร้อยหกสิบบาทถ้วน</v>
      </c>
      <c r="C74" s="456"/>
    </row>
    <row r="75" spans="1:5" ht="22.5" thickBot="1" x14ac:dyDescent="0.55000000000000004">
      <c r="A75" s="457"/>
      <c r="B75" s="458"/>
      <c r="C75" s="459"/>
    </row>
    <row r="76" spans="1:5" x14ac:dyDescent="0.5">
      <c r="B76" s="394"/>
      <c r="C76" s="460"/>
    </row>
    <row r="77" spans="1:5" x14ac:dyDescent="0.5">
      <c r="C77" s="46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2"/>
  <sheetViews>
    <sheetView workbookViewId="0">
      <selection activeCell="B22" sqref="B22"/>
    </sheetView>
  </sheetViews>
  <sheetFormatPr defaultColWidth="9" defaultRowHeight="21.75" x14ac:dyDescent="0.5"/>
  <cols>
    <col min="1" max="1" width="6.875" style="51" customWidth="1"/>
    <col min="2" max="2" width="88.625" style="43" customWidth="1"/>
    <col min="3" max="3" width="20" style="146" customWidth="1"/>
    <col min="4" max="4" width="9" style="43"/>
    <col min="5" max="5" width="12.25" style="43" bestFit="1" customWidth="1"/>
    <col min="6" max="256" width="9" style="43"/>
    <col min="257" max="257" width="5.375" style="43" customWidth="1"/>
    <col min="258" max="258" width="88" style="43" customWidth="1"/>
    <col min="259" max="259" width="14.875" style="43" customWidth="1"/>
    <col min="260" max="260" width="9" style="43"/>
    <col min="261" max="261" width="12.25" style="43" bestFit="1" customWidth="1"/>
    <col min="262" max="512" width="9" style="43"/>
    <col min="513" max="513" width="5.375" style="43" customWidth="1"/>
    <col min="514" max="514" width="88" style="43" customWidth="1"/>
    <col min="515" max="515" width="14.875" style="43" customWidth="1"/>
    <col min="516" max="516" width="9" style="43"/>
    <col min="517" max="517" width="12.25" style="43" bestFit="1" customWidth="1"/>
    <col min="518" max="768" width="9" style="43"/>
    <col min="769" max="769" width="5.375" style="43" customWidth="1"/>
    <col min="770" max="770" width="88" style="43" customWidth="1"/>
    <col min="771" max="771" width="14.875" style="43" customWidth="1"/>
    <col min="772" max="772" width="9" style="43"/>
    <col min="773" max="773" width="12.25" style="43" bestFit="1" customWidth="1"/>
    <col min="774" max="1024" width="9" style="43"/>
    <col min="1025" max="1025" width="5.375" style="43" customWidth="1"/>
    <col min="1026" max="1026" width="88" style="43" customWidth="1"/>
    <col min="1027" max="1027" width="14.875" style="43" customWidth="1"/>
    <col min="1028" max="1028" width="9" style="43"/>
    <col min="1029" max="1029" width="12.25" style="43" bestFit="1" customWidth="1"/>
    <col min="1030" max="1280" width="9" style="43"/>
    <col min="1281" max="1281" width="5.375" style="43" customWidth="1"/>
    <col min="1282" max="1282" width="88" style="43" customWidth="1"/>
    <col min="1283" max="1283" width="14.875" style="43" customWidth="1"/>
    <col min="1284" max="1284" width="9" style="43"/>
    <col min="1285" max="1285" width="12.25" style="43" bestFit="1" customWidth="1"/>
    <col min="1286" max="1536" width="9" style="43"/>
    <col min="1537" max="1537" width="5.375" style="43" customWidth="1"/>
    <col min="1538" max="1538" width="88" style="43" customWidth="1"/>
    <col min="1539" max="1539" width="14.875" style="43" customWidth="1"/>
    <col min="1540" max="1540" width="9" style="43"/>
    <col min="1541" max="1541" width="12.25" style="43" bestFit="1" customWidth="1"/>
    <col min="1542" max="1792" width="9" style="43"/>
    <col min="1793" max="1793" width="5.375" style="43" customWidth="1"/>
    <col min="1794" max="1794" width="88" style="43" customWidth="1"/>
    <col min="1795" max="1795" width="14.875" style="43" customWidth="1"/>
    <col min="1796" max="1796" width="9" style="43"/>
    <col min="1797" max="1797" width="12.25" style="43" bestFit="1" customWidth="1"/>
    <col min="1798" max="2048" width="9" style="43"/>
    <col min="2049" max="2049" width="5.375" style="43" customWidth="1"/>
    <col min="2050" max="2050" width="88" style="43" customWidth="1"/>
    <col min="2051" max="2051" width="14.875" style="43" customWidth="1"/>
    <col min="2052" max="2052" width="9" style="43"/>
    <col min="2053" max="2053" width="12.25" style="43" bestFit="1" customWidth="1"/>
    <col min="2054" max="2304" width="9" style="43"/>
    <col min="2305" max="2305" width="5.375" style="43" customWidth="1"/>
    <col min="2306" max="2306" width="88" style="43" customWidth="1"/>
    <col min="2307" max="2307" width="14.875" style="43" customWidth="1"/>
    <col min="2308" max="2308" width="9" style="43"/>
    <col min="2309" max="2309" width="12.25" style="43" bestFit="1" customWidth="1"/>
    <col min="2310" max="2560" width="9" style="43"/>
    <col min="2561" max="2561" width="5.375" style="43" customWidth="1"/>
    <col min="2562" max="2562" width="88" style="43" customWidth="1"/>
    <col min="2563" max="2563" width="14.875" style="43" customWidth="1"/>
    <col min="2564" max="2564" width="9" style="43"/>
    <col min="2565" max="2565" width="12.25" style="43" bestFit="1" customWidth="1"/>
    <col min="2566" max="2816" width="9" style="43"/>
    <col min="2817" max="2817" width="5.375" style="43" customWidth="1"/>
    <col min="2818" max="2818" width="88" style="43" customWidth="1"/>
    <col min="2819" max="2819" width="14.875" style="43" customWidth="1"/>
    <col min="2820" max="2820" width="9" style="43"/>
    <col min="2821" max="2821" width="12.25" style="43" bestFit="1" customWidth="1"/>
    <col min="2822" max="3072" width="9" style="43"/>
    <col min="3073" max="3073" width="5.375" style="43" customWidth="1"/>
    <col min="3074" max="3074" width="88" style="43" customWidth="1"/>
    <col min="3075" max="3075" width="14.875" style="43" customWidth="1"/>
    <col min="3076" max="3076" width="9" style="43"/>
    <col min="3077" max="3077" width="12.25" style="43" bestFit="1" customWidth="1"/>
    <col min="3078" max="3328" width="9" style="43"/>
    <col min="3329" max="3329" width="5.375" style="43" customWidth="1"/>
    <col min="3330" max="3330" width="88" style="43" customWidth="1"/>
    <col min="3331" max="3331" width="14.875" style="43" customWidth="1"/>
    <col min="3332" max="3332" width="9" style="43"/>
    <col min="3333" max="3333" width="12.25" style="43" bestFit="1" customWidth="1"/>
    <col min="3334" max="3584" width="9" style="43"/>
    <col min="3585" max="3585" width="5.375" style="43" customWidth="1"/>
    <col min="3586" max="3586" width="88" style="43" customWidth="1"/>
    <col min="3587" max="3587" width="14.875" style="43" customWidth="1"/>
    <col min="3588" max="3588" width="9" style="43"/>
    <col min="3589" max="3589" width="12.25" style="43" bestFit="1" customWidth="1"/>
    <col min="3590" max="3840" width="9" style="43"/>
    <col min="3841" max="3841" width="5.375" style="43" customWidth="1"/>
    <col min="3842" max="3842" width="88" style="43" customWidth="1"/>
    <col min="3843" max="3843" width="14.875" style="43" customWidth="1"/>
    <col min="3844" max="3844" width="9" style="43"/>
    <col min="3845" max="3845" width="12.25" style="43" bestFit="1" customWidth="1"/>
    <col min="3846" max="4096" width="9" style="43"/>
    <col min="4097" max="4097" width="5.375" style="43" customWidth="1"/>
    <col min="4098" max="4098" width="88" style="43" customWidth="1"/>
    <col min="4099" max="4099" width="14.875" style="43" customWidth="1"/>
    <col min="4100" max="4100" width="9" style="43"/>
    <col min="4101" max="4101" width="12.25" style="43" bestFit="1" customWidth="1"/>
    <col min="4102" max="4352" width="9" style="43"/>
    <col min="4353" max="4353" width="5.375" style="43" customWidth="1"/>
    <col min="4354" max="4354" width="88" style="43" customWidth="1"/>
    <col min="4355" max="4355" width="14.875" style="43" customWidth="1"/>
    <col min="4356" max="4356" width="9" style="43"/>
    <col min="4357" max="4357" width="12.25" style="43" bestFit="1" customWidth="1"/>
    <col min="4358" max="4608" width="9" style="43"/>
    <col min="4609" max="4609" width="5.375" style="43" customWidth="1"/>
    <col min="4610" max="4610" width="88" style="43" customWidth="1"/>
    <col min="4611" max="4611" width="14.875" style="43" customWidth="1"/>
    <col min="4612" max="4612" width="9" style="43"/>
    <col min="4613" max="4613" width="12.25" style="43" bestFit="1" customWidth="1"/>
    <col min="4614" max="4864" width="9" style="43"/>
    <col min="4865" max="4865" width="5.375" style="43" customWidth="1"/>
    <col min="4866" max="4866" width="88" style="43" customWidth="1"/>
    <col min="4867" max="4867" width="14.875" style="43" customWidth="1"/>
    <col min="4868" max="4868" width="9" style="43"/>
    <col min="4869" max="4869" width="12.25" style="43" bestFit="1" customWidth="1"/>
    <col min="4870" max="5120" width="9" style="43"/>
    <col min="5121" max="5121" width="5.375" style="43" customWidth="1"/>
    <col min="5122" max="5122" width="88" style="43" customWidth="1"/>
    <col min="5123" max="5123" width="14.875" style="43" customWidth="1"/>
    <col min="5124" max="5124" width="9" style="43"/>
    <col min="5125" max="5125" width="12.25" style="43" bestFit="1" customWidth="1"/>
    <col min="5126" max="5376" width="9" style="43"/>
    <col min="5377" max="5377" width="5.375" style="43" customWidth="1"/>
    <col min="5378" max="5378" width="88" style="43" customWidth="1"/>
    <col min="5379" max="5379" width="14.875" style="43" customWidth="1"/>
    <col min="5380" max="5380" width="9" style="43"/>
    <col min="5381" max="5381" width="12.25" style="43" bestFit="1" customWidth="1"/>
    <col min="5382" max="5632" width="9" style="43"/>
    <col min="5633" max="5633" width="5.375" style="43" customWidth="1"/>
    <col min="5634" max="5634" width="88" style="43" customWidth="1"/>
    <col min="5635" max="5635" width="14.875" style="43" customWidth="1"/>
    <col min="5636" max="5636" width="9" style="43"/>
    <col min="5637" max="5637" width="12.25" style="43" bestFit="1" customWidth="1"/>
    <col min="5638" max="5888" width="9" style="43"/>
    <col min="5889" max="5889" width="5.375" style="43" customWidth="1"/>
    <col min="5890" max="5890" width="88" style="43" customWidth="1"/>
    <col min="5891" max="5891" width="14.875" style="43" customWidth="1"/>
    <col min="5892" max="5892" width="9" style="43"/>
    <col min="5893" max="5893" width="12.25" style="43" bestFit="1" customWidth="1"/>
    <col min="5894" max="6144" width="9" style="43"/>
    <col min="6145" max="6145" width="5.375" style="43" customWidth="1"/>
    <col min="6146" max="6146" width="88" style="43" customWidth="1"/>
    <col min="6147" max="6147" width="14.875" style="43" customWidth="1"/>
    <col min="6148" max="6148" width="9" style="43"/>
    <col min="6149" max="6149" width="12.25" style="43" bestFit="1" customWidth="1"/>
    <col min="6150" max="6400" width="9" style="43"/>
    <col min="6401" max="6401" width="5.375" style="43" customWidth="1"/>
    <col min="6402" max="6402" width="88" style="43" customWidth="1"/>
    <col min="6403" max="6403" width="14.875" style="43" customWidth="1"/>
    <col min="6404" max="6404" width="9" style="43"/>
    <col min="6405" max="6405" width="12.25" style="43" bestFit="1" customWidth="1"/>
    <col min="6406" max="6656" width="9" style="43"/>
    <col min="6657" max="6657" width="5.375" style="43" customWidth="1"/>
    <col min="6658" max="6658" width="88" style="43" customWidth="1"/>
    <col min="6659" max="6659" width="14.875" style="43" customWidth="1"/>
    <col min="6660" max="6660" width="9" style="43"/>
    <col min="6661" max="6661" width="12.25" style="43" bestFit="1" customWidth="1"/>
    <col min="6662" max="6912" width="9" style="43"/>
    <col min="6913" max="6913" width="5.375" style="43" customWidth="1"/>
    <col min="6914" max="6914" width="88" style="43" customWidth="1"/>
    <col min="6915" max="6915" width="14.875" style="43" customWidth="1"/>
    <col min="6916" max="6916" width="9" style="43"/>
    <col min="6917" max="6917" width="12.25" style="43" bestFit="1" customWidth="1"/>
    <col min="6918" max="7168" width="9" style="43"/>
    <col min="7169" max="7169" width="5.375" style="43" customWidth="1"/>
    <col min="7170" max="7170" width="88" style="43" customWidth="1"/>
    <col min="7171" max="7171" width="14.875" style="43" customWidth="1"/>
    <col min="7172" max="7172" width="9" style="43"/>
    <col min="7173" max="7173" width="12.25" style="43" bestFit="1" customWidth="1"/>
    <col min="7174" max="7424" width="9" style="43"/>
    <col min="7425" max="7425" width="5.375" style="43" customWidth="1"/>
    <col min="7426" max="7426" width="88" style="43" customWidth="1"/>
    <col min="7427" max="7427" width="14.875" style="43" customWidth="1"/>
    <col min="7428" max="7428" width="9" style="43"/>
    <col min="7429" max="7429" width="12.25" style="43" bestFit="1" customWidth="1"/>
    <col min="7430" max="7680" width="9" style="43"/>
    <col min="7681" max="7681" width="5.375" style="43" customWidth="1"/>
    <col min="7682" max="7682" width="88" style="43" customWidth="1"/>
    <col min="7683" max="7683" width="14.875" style="43" customWidth="1"/>
    <col min="7684" max="7684" width="9" style="43"/>
    <col min="7685" max="7685" width="12.25" style="43" bestFit="1" customWidth="1"/>
    <col min="7686" max="7936" width="9" style="43"/>
    <col min="7937" max="7937" width="5.375" style="43" customWidth="1"/>
    <col min="7938" max="7938" width="88" style="43" customWidth="1"/>
    <col min="7939" max="7939" width="14.875" style="43" customWidth="1"/>
    <col min="7940" max="7940" width="9" style="43"/>
    <col min="7941" max="7941" width="12.25" style="43" bestFit="1" customWidth="1"/>
    <col min="7942" max="8192" width="9" style="43"/>
    <col min="8193" max="8193" width="5.375" style="43" customWidth="1"/>
    <col min="8194" max="8194" width="88" style="43" customWidth="1"/>
    <col min="8195" max="8195" width="14.875" style="43" customWidth="1"/>
    <col min="8196" max="8196" width="9" style="43"/>
    <col min="8197" max="8197" width="12.25" style="43" bestFit="1" customWidth="1"/>
    <col min="8198" max="8448" width="9" style="43"/>
    <col min="8449" max="8449" width="5.375" style="43" customWidth="1"/>
    <col min="8450" max="8450" width="88" style="43" customWidth="1"/>
    <col min="8451" max="8451" width="14.875" style="43" customWidth="1"/>
    <col min="8452" max="8452" width="9" style="43"/>
    <col min="8453" max="8453" width="12.25" style="43" bestFit="1" customWidth="1"/>
    <col min="8454" max="8704" width="9" style="43"/>
    <col min="8705" max="8705" width="5.375" style="43" customWidth="1"/>
    <col min="8706" max="8706" width="88" style="43" customWidth="1"/>
    <col min="8707" max="8707" width="14.875" style="43" customWidth="1"/>
    <col min="8708" max="8708" width="9" style="43"/>
    <col min="8709" max="8709" width="12.25" style="43" bestFit="1" customWidth="1"/>
    <col min="8710" max="8960" width="9" style="43"/>
    <col min="8961" max="8961" width="5.375" style="43" customWidth="1"/>
    <col min="8962" max="8962" width="88" style="43" customWidth="1"/>
    <col min="8963" max="8963" width="14.875" style="43" customWidth="1"/>
    <col min="8964" max="8964" width="9" style="43"/>
    <col min="8965" max="8965" width="12.25" style="43" bestFit="1" customWidth="1"/>
    <col min="8966" max="9216" width="9" style="43"/>
    <col min="9217" max="9217" width="5.375" style="43" customWidth="1"/>
    <col min="9218" max="9218" width="88" style="43" customWidth="1"/>
    <col min="9219" max="9219" width="14.875" style="43" customWidth="1"/>
    <col min="9220" max="9220" width="9" style="43"/>
    <col min="9221" max="9221" width="12.25" style="43" bestFit="1" customWidth="1"/>
    <col min="9222" max="9472" width="9" style="43"/>
    <col min="9473" max="9473" width="5.375" style="43" customWidth="1"/>
    <col min="9474" max="9474" width="88" style="43" customWidth="1"/>
    <col min="9475" max="9475" width="14.875" style="43" customWidth="1"/>
    <col min="9476" max="9476" width="9" style="43"/>
    <col min="9477" max="9477" width="12.25" style="43" bestFit="1" customWidth="1"/>
    <col min="9478" max="9728" width="9" style="43"/>
    <col min="9729" max="9729" width="5.375" style="43" customWidth="1"/>
    <col min="9730" max="9730" width="88" style="43" customWidth="1"/>
    <col min="9731" max="9731" width="14.875" style="43" customWidth="1"/>
    <col min="9732" max="9732" width="9" style="43"/>
    <col min="9733" max="9733" width="12.25" style="43" bestFit="1" customWidth="1"/>
    <col min="9734" max="9984" width="9" style="43"/>
    <col min="9985" max="9985" width="5.375" style="43" customWidth="1"/>
    <col min="9986" max="9986" width="88" style="43" customWidth="1"/>
    <col min="9987" max="9987" width="14.875" style="43" customWidth="1"/>
    <col min="9988" max="9988" width="9" style="43"/>
    <col min="9989" max="9989" width="12.25" style="43" bestFit="1" customWidth="1"/>
    <col min="9990" max="10240" width="9" style="43"/>
    <col min="10241" max="10241" width="5.375" style="43" customWidth="1"/>
    <col min="10242" max="10242" width="88" style="43" customWidth="1"/>
    <col min="10243" max="10243" width="14.875" style="43" customWidth="1"/>
    <col min="10244" max="10244" width="9" style="43"/>
    <col min="10245" max="10245" width="12.25" style="43" bestFit="1" customWidth="1"/>
    <col min="10246" max="10496" width="9" style="43"/>
    <col min="10497" max="10497" width="5.375" style="43" customWidth="1"/>
    <col min="10498" max="10498" width="88" style="43" customWidth="1"/>
    <col min="10499" max="10499" width="14.875" style="43" customWidth="1"/>
    <col min="10500" max="10500" width="9" style="43"/>
    <col min="10501" max="10501" width="12.25" style="43" bestFit="1" customWidth="1"/>
    <col min="10502" max="10752" width="9" style="43"/>
    <col min="10753" max="10753" width="5.375" style="43" customWidth="1"/>
    <col min="10754" max="10754" width="88" style="43" customWidth="1"/>
    <col min="10755" max="10755" width="14.875" style="43" customWidth="1"/>
    <col min="10756" max="10756" width="9" style="43"/>
    <col min="10757" max="10757" width="12.25" style="43" bestFit="1" customWidth="1"/>
    <col min="10758" max="11008" width="9" style="43"/>
    <col min="11009" max="11009" width="5.375" style="43" customWidth="1"/>
    <col min="11010" max="11010" width="88" style="43" customWidth="1"/>
    <col min="11011" max="11011" width="14.875" style="43" customWidth="1"/>
    <col min="11012" max="11012" width="9" style="43"/>
    <col min="11013" max="11013" width="12.25" style="43" bestFit="1" customWidth="1"/>
    <col min="11014" max="11264" width="9" style="43"/>
    <col min="11265" max="11265" width="5.375" style="43" customWidth="1"/>
    <col min="11266" max="11266" width="88" style="43" customWidth="1"/>
    <col min="11267" max="11267" width="14.875" style="43" customWidth="1"/>
    <col min="11268" max="11268" width="9" style="43"/>
    <col min="11269" max="11269" width="12.25" style="43" bestFit="1" customWidth="1"/>
    <col min="11270" max="11520" width="9" style="43"/>
    <col min="11521" max="11521" width="5.375" style="43" customWidth="1"/>
    <col min="11522" max="11522" width="88" style="43" customWidth="1"/>
    <col min="11523" max="11523" width="14.875" style="43" customWidth="1"/>
    <col min="11524" max="11524" width="9" style="43"/>
    <col min="11525" max="11525" width="12.25" style="43" bestFit="1" customWidth="1"/>
    <col min="11526" max="11776" width="9" style="43"/>
    <col min="11777" max="11777" width="5.375" style="43" customWidth="1"/>
    <col min="11778" max="11778" width="88" style="43" customWidth="1"/>
    <col min="11779" max="11779" width="14.875" style="43" customWidth="1"/>
    <col min="11780" max="11780" width="9" style="43"/>
    <col min="11781" max="11781" width="12.25" style="43" bestFit="1" customWidth="1"/>
    <col min="11782" max="12032" width="9" style="43"/>
    <col min="12033" max="12033" width="5.375" style="43" customWidth="1"/>
    <col min="12034" max="12034" width="88" style="43" customWidth="1"/>
    <col min="12035" max="12035" width="14.875" style="43" customWidth="1"/>
    <col min="12036" max="12036" width="9" style="43"/>
    <col min="12037" max="12037" width="12.25" style="43" bestFit="1" customWidth="1"/>
    <col min="12038" max="12288" width="9" style="43"/>
    <col min="12289" max="12289" width="5.375" style="43" customWidth="1"/>
    <col min="12290" max="12290" width="88" style="43" customWidth="1"/>
    <col min="12291" max="12291" width="14.875" style="43" customWidth="1"/>
    <col min="12292" max="12292" width="9" style="43"/>
    <col min="12293" max="12293" width="12.25" style="43" bestFit="1" customWidth="1"/>
    <col min="12294" max="12544" width="9" style="43"/>
    <col min="12545" max="12545" width="5.375" style="43" customWidth="1"/>
    <col min="12546" max="12546" width="88" style="43" customWidth="1"/>
    <col min="12547" max="12547" width="14.875" style="43" customWidth="1"/>
    <col min="12548" max="12548" width="9" style="43"/>
    <col min="12549" max="12549" width="12.25" style="43" bestFit="1" customWidth="1"/>
    <col min="12550" max="12800" width="9" style="43"/>
    <col min="12801" max="12801" width="5.375" style="43" customWidth="1"/>
    <col min="12802" max="12802" width="88" style="43" customWidth="1"/>
    <col min="12803" max="12803" width="14.875" style="43" customWidth="1"/>
    <col min="12804" max="12804" width="9" style="43"/>
    <col min="12805" max="12805" width="12.25" style="43" bestFit="1" customWidth="1"/>
    <col min="12806" max="13056" width="9" style="43"/>
    <col min="13057" max="13057" width="5.375" style="43" customWidth="1"/>
    <col min="13058" max="13058" width="88" style="43" customWidth="1"/>
    <col min="13059" max="13059" width="14.875" style="43" customWidth="1"/>
    <col min="13060" max="13060" width="9" style="43"/>
    <col min="13061" max="13061" width="12.25" style="43" bestFit="1" customWidth="1"/>
    <col min="13062" max="13312" width="9" style="43"/>
    <col min="13313" max="13313" width="5.375" style="43" customWidth="1"/>
    <col min="13314" max="13314" width="88" style="43" customWidth="1"/>
    <col min="13315" max="13315" width="14.875" style="43" customWidth="1"/>
    <col min="13316" max="13316" width="9" style="43"/>
    <col min="13317" max="13317" width="12.25" style="43" bestFit="1" customWidth="1"/>
    <col min="13318" max="13568" width="9" style="43"/>
    <col min="13569" max="13569" width="5.375" style="43" customWidth="1"/>
    <col min="13570" max="13570" width="88" style="43" customWidth="1"/>
    <col min="13571" max="13571" width="14.875" style="43" customWidth="1"/>
    <col min="13572" max="13572" width="9" style="43"/>
    <col min="13573" max="13573" width="12.25" style="43" bestFit="1" customWidth="1"/>
    <col min="13574" max="13824" width="9" style="43"/>
    <col min="13825" max="13825" width="5.375" style="43" customWidth="1"/>
    <col min="13826" max="13826" width="88" style="43" customWidth="1"/>
    <col min="13827" max="13827" width="14.875" style="43" customWidth="1"/>
    <col min="13828" max="13828" width="9" style="43"/>
    <col min="13829" max="13829" width="12.25" style="43" bestFit="1" customWidth="1"/>
    <col min="13830" max="14080" width="9" style="43"/>
    <col min="14081" max="14081" width="5.375" style="43" customWidth="1"/>
    <col min="14082" max="14082" width="88" style="43" customWidth="1"/>
    <col min="14083" max="14083" width="14.875" style="43" customWidth="1"/>
    <col min="14084" max="14084" width="9" style="43"/>
    <col min="14085" max="14085" width="12.25" style="43" bestFit="1" customWidth="1"/>
    <col min="14086" max="14336" width="9" style="43"/>
    <col min="14337" max="14337" width="5.375" style="43" customWidth="1"/>
    <col min="14338" max="14338" width="88" style="43" customWidth="1"/>
    <col min="14339" max="14339" width="14.875" style="43" customWidth="1"/>
    <col min="14340" max="14340" width="9" style="43"/>
    <col min="14341" max="14341" width="12.25" style="43" bestFit="1" customWidth="1"/>
    <col min="14342" max="14592" width="9" style="43"/>
    <col min="14593" max="14593" width="5.375" style="43" customWidth="1"/>
    <col min="14594" max="14594" width="88" style="43" customWidth="1"/>
    <col min="14595" max="14595" width="14.875" style="43" customWidth="1"/>
    <col min="14596" max="14596" width="9" style="43"/>
    <col min="14597" max="14597" width="12.25" style="43" bestFit="1" customWidth="1"/>
    <col min="14598" max="14848" width="9" style="43"/>
    <col min="14849" max="14849" width="5.375" style="43" customWidth="1"/>
    <col min="14850" max="14850" width="88" style="43" customWidth="1"/>
    <col min="14851" max="14851" width="14.875" style="43" customWidth="1"/>
    <col min="14852" max="14852" width="9" style="43"/>
    <col min="14853" max="14853" width="12.25" style="43" bestFit="1" customWidth="1"/>
    <col min="14854" max="15104" width="9" style="43"/>
    <col min="15105" max="15105" width="5.375" style="43" customWidth="1"/>
    <col min="15106" max="15106" width="88" style="43" customWidth="1"/>
    <col min="15107" max="15107" width="14.875" style="43" customWidth="1"/>
    <col min="15108" max="15108" width="9" style="43"/>
    <col min="15109" max="15109" width="12.25" style="43" bestFit="1" customWidth="1"/>
    <col min="15110" max="15360" width="9" style="43"/>
    <col min="15361" max="15361" width="5.375" style="43" customWidth="1"/>
    <col min="15362" max="15362" width="88" style="43" customWidth="1"/>
    <col min="15363" max="15363" width="14.875" style="43" customWidth="1"/>
    <col min="15364" max="15364" width="9" style="43"/>
    <col min="15365" max="15365" width="12.25" style="43" bestFit="1" customWidth="1"/>
    <col min="15366" max="15616" width="9" style="43"/>
    <col min="15617" max="15617" width="5.375" style="43" customWidth="1"/>
    <col min="15618" max="15618" width="88" style="43" customWidth="1"/>
    <col min="15619" max="15619" width="14.875" style="43" customWidth="1"/>
    <col min="15620" max="15620" width="9" style="43"/>
    <col min="15621" max="15621" width="12.25" style="43" bestFit="1" customWidth="1"/>
    <col min="15622" max="15872" width="9" style="43"/>
    <col min="15873" max="15873" width="5.375" style="43" customWidth="1"/>
    <col min="15874" max="15874" width="88" style="43" customWidth="1"/>
    <col min="15875" max="15875" width="14.875" style="43" customWidth="1"/>
    <col min="15876" max="15876" width="9" style="43"/>
    <col min="15877" max="15877" width="12.25" style="43" bestFit="1" customWidth="1"/>
    <col min="15878" max="16128" width="9" style="43"/>
    <col min="16129" max="16129" width="5.375" style="43" customWidth="1"/>
    <col min="16130" max="16130" width="88" style="43" customWidth="1"/>
    <col min="16131" max="16131" width="14.875" style="43" customWidth="1"/>
    <col min="16132" max="16132" width="9" style="43"/>
    <col min="16133" max="16133" width="12.25" style="43" bestFit="1" customWidth="1"/>
    <col min="16134" max="16384" width="9" style="43"/>
  </cols>
  <sheetData>
    <row r="1" spans="1:5" ht="24" thickBot="1" x14ac:dyDescent="0.55000000000000004">
      <c r="A1" s="823" t="s">
        <v>16</v>
      </c>
      <c r="B1" s="823"/>
      <c r="C1" s="823"/>
    </row>
    <row r="2" spans="1:5" s="51" customFormat="1" ht="18.75" x14ac:dyDescent="0.3">
      <c r="A2" s="49"/>
      <c r="B2" s="49" t="s">
        <v>17</v>
      </c>
      <c r="C2" s="50" t="s">
        <v>18</v>
      </c>
      <c r="E2" s="52"/>
    </row>
    <row r="3" spans="1:5" ht="22.5" thickBot="1" x14ac:dyDescent="0.55000000000000004">
      <c r="A3" s="53" t="s">
        <v>189</v>
      </c>
      <c r="B3" s="54" t="s">
        <v>422</v>
      </c>
      <c r="C3" s="55" t="s">
        <v>19</v>
      </c>
    </row>
    <row r="4" spans="1:5" ht="27" customHeight="1" thickBot="1" x14ac:dyDescent="0.55000000000000004">
      <c r="A4" s="785"/>
      <c r="B4" s="822" t="s">
        <v>2</v>
      </c>
      <c r="C4" s="55">
        <f>C5+C16+C19</f>
        <v>21929200</v>
      </c>
    </row>
    <row r="5" spans="1:5" ht="22.5" thickBot="1" x14ac:dyDescent="0.55000000000000004">
      <c r="A5" s="362">
        <v>1</v>
      </c>
      <c r="B5" s="85" t="s">
        <v>72</v>
      </c>
      <c r="C5" s="384">
        <f>SUM(C6:C15)</f>
        <v>1083000</v>
      </c>
    </row>
    <row r="6" spans="1:5" x14ac:dyDescent="0.5">
      <c r="A6" s="53"/>
      <c r="B6" s="364" t="s">
        <v>548</v>
      </c>
      <c r="C6" s="365">
        <v>165000</v>
      </c>
    </row>
    <row r="7" spans="1:5" x14ac:dyDescent="0.5">
      <c r="A7" s="53"/>
      <c r="B7" s="366" t="s">
        <v>549</v>
      </c>
      <c r="C7" s="64">
        <v>108000</v>
      </c>
    </row>
    <row r="8" spans="1:5" x14ac:dyDescent="0.5">
      <c r="A8" s="53"/>
      <c r="B8" s="366" t="s">
        <v>550</v>
      </c>
      <c r="C8" s="64">
        <v>108000</v>
      </c>
    </row>
    <row r="9" spans="1:5" x14ac:dyDescent="0.5">
      <c r="A9" s="53"/>
      <c r="B9" s="366" t="s">
        <v>551</v>
      </c>
      <c r="C9" s="64">
        <v>108000</v>
      </c>
    </row>
    <row r="10" spans="1:5" x14ac:dyDescent="0.5">
      <c r="A10" s="53"/>
      <c r="B10" s="366" t="s">
        <v>552</v>
      </c>
      <c r="C10" s="64">
        <v>108000</v>
      </c>
    </row>
    <row r="11" spans="1:5" x14ac:dyDescent="0.5">
      <c r="A11" s="53"/>
      <c r="B11" s="366" t="s">
        <v>553</v>
      </c>
      <c r="C11" s="64">
        <v>108000</v>
      </c>
    </row>
    <row r="12" spans="1:5" x14ac:dyDescent="0.5">
      <c r="A12" s="53"/>
      <c r="B12" s="366" t="s">
        <v>554</v>
      </c>
      <c r="C12" s="64">
        <v>108000</v>
      </c>
    </row>
    <row r="13" spans="1:5" x14ac:dyDescent="0.5">
      <c r="A13" s="53"/>
      <c r="B13" s="368" t="s">
        <v>555</v>
      </c>
      <c r="C13" s="64">
        <v>90000</v>
      </c>
    </row>
    <row r="14" spans="1:5" x14ac:dyDescent="0.5">
      <c r="A14" s="53"/>
      <c r="B14" s="364" t="s">
        <v>556</v>
      </c>
      <c r="C14" s="64">
        <v>90000</v>
      </c>
    </row>
    <row r="15" spans="1:5" ht="21" customHeight="1" thickBot="1" x14ac:dyDescent="0.55000000000000004">
      <c r="A15" s="53"/>
      <c r="B15" s="462" t="s">
        <v>557</v>
      </c>
      <c r="C15" s="463">
        <v>90000</v>
      </c>
    </row>
    <row r="16" spans="1:5" s="70" customFormat="1" ht="26.25" customHeight="1" thickBot="1" x14ac:dyDescent="0.45">
      <c r="A16" s="362">
        <v>2</v>
      </c>
      <c r="B16" s="85" t="s">
        <v>79</v>
      </c>
      <c r="C16" s="464">
        <f>C17+C18</f>
        <v>1080000</v>
      </c>
    </row>
    <row r="17" spans="1:4" s="70" customFormat="1" ht="26.25" customHeight="1" x14ac:dyDescent="0.4">
      <c r="A17" s="878"/>
      <c r="B17" s="465" t="s">
        <v>558</v>
      </c>
      <c r="C17" s="463">
        <v>540000</v>
      </c>
    </row>
    <row r="18" spans="1:4" s="70" customFormat="1" ht="26.25" customHeight="1" thickBot="1" x14ac:dyDescent="0.55000000000000004">
      <c r="A18" s="880"/>
      <c r="B18" s="368" t="s">
        <v>559</v>
      </c>
      <c r="C18" s="466">
        <v>540000</v>
      </c>
    </row>
    <row r="19" spans="1:4" s="70" customFormat="1" ht="26.25" customHeight="1" thickBot="1" x14ac:dyDescent="0.45">
      <c r="A19" s="362">
        <v>3</v>
      </c>
      <c r="B19" s="85" t="s">
        <v>81</v>
      </c>
      <c r="C19" s="467">
        <f>C21+C25+C39+C46+C51+C67+C78+C88+C98+C114+C117</f>
        <v>19766200</v>
      </c>
    </row>
    <row r="20" spans="1:4" s="70" customFormat="1" ht="26.25" customHeight="1" thickBot="1" x14ac:dyDescent="0.45">
      <c r="A20" s="362">
        <v>3.1</v>
      </c>
      <c r="B20" s="85" t="s">
        <v>560</v>
      </c>
      <c r="C20" s="386"/>
    </row>
    <row r="21" spans="1:4" s="89" customFormat="1" ht="45.75" customHeight="1" thickBot="1" x14ac:dyDescent="0.35">
      <c r="A21" s="468">
        <v>3.2</v>
      </c>
      <c r="B21" s="111" t="s">
        <v>561</v>
      </c>
      <c r="C21" s="387">
        <f>C22+C23+C24</f>
        <v>1335000</v>
      </c>
    </row>
    <row r="22" spans="1:4" s="82" customFormat="1" ht="23.25" customHeight="1" x14ac:dyDescent="0.2">
      <c r="A22" s="79"/>
      <c r="B22" s="90" t="s">
        <v>562</v>
      </c>
      <c r="C22" s="87">
        <v>360000</v>
      </c>
    </row>
    <row r="23" spans="1:4" s="82" customFormat="1" ht="23.25" customHeight="1" x14ac:dyDescent="0.5">
      <c r="A23" s="79"/>
      <c r="B23" s="80" t="s">
        <v>563</v>
      </c>
      <c r="C23" s="88">
        <v>600000</v>
      </c>
    </row>
    <row r="24" spans="1:4" s="82" customFormat="1" ht="23.25" customHeight="1" thickBot="1" x14ac:dyDescent="0.25">
      <c r="A24" s="79"/>
      <c r="B24" s="375" t="s">
        <v>564</v>
      </c>
      <c r="C24" s="93">
        <v>375000</v>
      </c>
    </row>
    <row r="25" spans="1:4" s="70" customFormat="1" ht="38.25" thickBot="1" x14ac:dyDescent="0.45">
      <c r="A25" s="468">
        <v>3.3</v>
      </c>
      <c r="B25" s="111" t="s">
        <v>565</v>
      </c>
      <c r="C25" s="387">
        <f>C26+C34</f>
        <v>766500</v>
      </c>
      <c r="D25" s="98"/>
    </row>
    <row r="26" spans="1:4" s="70" customFormat="1" x14ac:dyDescent="0.5">
      <c r="A26" s="469"/>
      <c r="B26" s="470" t="s">
        <v>566</v>
      </c>
      <c r="C26" s="471">
        <f>C27+C28+C29+C30+C31+C32+C33</f>
        <v>723000</v>
      </c>
    </row>
    <row r="27" spans="1:4" s="70" customFormat="1" x14ac:dyDescent="0.5">
      <c r="A27" s="102"/>
      <c r="B27" s="90" t="s">
        <v>567</v>
      </c>
      <c r="C27" s="87">
        <v>150000</v>
      </c>
    </row>
    <row r="28" spans="1:4" s="70" customFormat="1" x14ac:dyDescent="0.5">
      <c r="A28" s="102"/>
      <c r="B28" s="90" t="s">
        <v>568</v>
      </c>
      <c r="C28" s="87">
        <v>60000</v>
      </c>
    </row>
    <row r="29" spans="1:4" s="70" customFormat="1" x14ac:dyDescent="0.5">
      <c r="A29" s="102"/>
      <c r="B29" s="80" t="s">
        <v>569</v>
      </c>
      <c r="C29" s="88">
        <v>300000</v>
      </c>
    </row>
    <row r="30" spans="1:4" s="70" customFormat="1" x14ac:dyDescent="0.5">
      <c r="A30" s="102"/>
      <c r="B30" s="107" t="s">
        <v>570</v>
      </c>
      <c r="C30" s="87">
        <v>36000</v>
      </c>
    </row>
    <row r="31" spans="1:4" s="70" customFormat="1" x14ac:dyDescent="0.5">
      <c r="A31" s="102"/>
      <c r="B31" s="107" t="s">
        <v>571</v>
      </c>
      <c r="C31" s="87">
        <v>60000</v>
      </c>
    </row>
    <row r="32" spans="1:4" s="70" customFormat="1" x14ac:dyDescent="0.5">
      <c r="A32" s="102"/>
      <c r="B32" s="107" t="s">
        <v>572</v>
      </c>
      <c r="C32" s="87">
        <v>42000</v>
      </c>
    </row>
    <row r="33" spans="1:3" s="70" customFormat="1" x14ac:dyDescent="0.5">
      <c r="A33" s="102"/>
      <c r="B33" s="107" t="s">
        <v>573</v>
      </c>
      <c r="C33" s="87">
        <v>75000</v>
      </c>
    </row>
    <row r="34" spans="1:3" s="70" customFormat="1" x14ac:dyDescent="0.5">
      <c r="A34" s="102"/>
      <c r="B34" s="472" t="s">
        <v>574</v>
      </c>
      <c r="C34" s="473">
        <f>C35+C36+C37+C38</f>
        <v>43500</v>
      </c>
    </row>
    <row r="35" spans="1:3" s="70" customFormat="1" x14ac:dyDescent="0.5">
      <c r="A35" s="102"/>
      <c r="B35" s="90" t="s">
        <v>575</v>
      </c>
      <c r="C35" s="87">
        <v>10000</v>
      </c>
    </row>
    <row r="36" spans="1:3" s="70" customFormat="1" x14ac:dyDescent="0.5">
      <c r="A36" s="102"/>
      <c r="B36" s="105" t="s">
        <v>576</v>
      </c>
      <c r="C36" s="88">
        <v>5000</v>
      </c>
    </row>
    <row r="37" spans="1:3" s="70" customFormat="1" x14ac:dyDescent="0.5">
      <c r="A37" s="102"/>
      <c r="B37" s="80" t="s">
        <v>577</v>
      </c>
      <c r="C37" s="87">
        <v>25000</v>
      </c>
    </row>
    <row r="38" spans="1:3" s="70" customFormat="1" ht="22.5" thickBot="1" x14ac:dyDescent="0.55000000000000004">
      <c r="A38" s="102"/>
      <c r="B38" s="80" t="s">
        <v>578</v>
      </c>
      <c r="C38" s="87">
        <v>3500</v>
      </c>
    </row>
    <row r="39" spans="1:3" ht="38.25" thickBot="1" x14ac:dyDescent="0.55000000000000004">
      <c r="A39" s="468">
        <v>3.4</v>
      </c>
      <c r="B39" s="111" t="s">
        <v>579</v>
      </c>
      <c r="C39" s="474">
        <f>C40+C43</f>
        <v>1725000</v>
      </c>
    </row>
    <row r="40" spans="1:3" ht="65.25" customHeight="1" x14ac:dyDescent="0.5">
      <c r="B40" s="475" t="s">
        <v>580</v>
      </c>
      <c r="C40" s="476">
        <f>C41+C42</f>
        <v>1500000</v>
      </c>
    </row>
    <row r="41" spans="1:3" x14ac:dyDescent="0.5">
      <c r="B41" s="90" t="s">
        <v>581</v>
      </c>
      <c r="C41" s="87">
        <v>1000000</v>
      </c>
    </row>
    <row r="42" spans="1:3" x14ac:dyDescent="0.5">
      <c r="B42" s="80" t="s">
        <v>582</v>
      </c>
      <c r="C42" s="88">
        <v>500000</v>
      </c>
    </row>
    <row r="43" spans="1:3" x14ac:dyDescent="0.5">
      <c r="B43" s="472" t="s">
        <v>583</v>
      </c>
      <c r="C43" s="473">
        <f>C44+C45</f>
        <v>225000</v>
      </c>
    </row>
    <row r="44" spans="1:3" x14ac:dyDescent="0.5">
      <c r="B44" s="90" t="s">
        <v>584</v>
      </c>
      <c r="C44" s="87">
        <v>200000</v>
      </c>
    </row>
    <row r="45" spans="1:3" ht="22.5" thickBot="1" x14ac:dyDescent="0.55000000000000004">
      <c r="B45" s="80" t="s">
        <v>585</v>
      </c>
      <c r="C45" s="88">
        <v>25000</v>
      </c>
    </row>
    <row r="46" spans="1:3" ht="40.5" customHeight="1" thickBot="1" x14ac:dyDescent="0.55000000000000004">
      <c r="A46" s="468">
        <v>3.5</v>
      </c>
      <c r="B46" s="111" t="s">
        <v>586</v>
      </c>
      <c r="C46" s="477">
        <f>C47+C48+C49+C50</f>
        <v>1620000</v>
      </c>
    </row>
    <row r="47" spans="1:3" x14ac:dyDescent="0.5">
      <c r="B47" s="107" t="s">
        <v>587</v>
      </c>
      <c r="C47" s="87">
        <v>432000</v>
      </c>
    </row>
    <row r="48" spans="1:3" x14ac:dyDescent="0.5">
      <c r="B48" s="108" t="s">
        <v>588</v>
      </c>
      <c r="C48" s="87">
        <v>720000</v>
      </c>
    </row>
    <row r="49" spans="1:3" x14ac:dyDescent="0.5">
      <c r="B49" s="80" t="s">
        <v>589</v>
      </c>
      <c r="C49" s="87">
        <v>18000</v>
      </c>
    </row>
    <row r="50" spans="1:3" ht="22.5" thickBot="1" x14ac:dyDescent="0.55000000000000004">
      <c r="B50" s="80" t="s">
        <v>590</v>
      </c>
      <c r="C50" s="87">
        <v>450000</v>
      </c>
    </row>
    <row r="51" spans="1:3" ht="94.5" thickBot="1" x14ac:dyDescent="0.55000000000000004">
      <c r="A51" s="468">
        <v>3.6</v>
      </c>
      <c r="B51" s="120" t="s">
        <v>591</v>
      </c>
      <c r="C51" s="477">
        <f>C52+C60</f>
        <v>207300</v>
      </c>
    </row>
    <row r="52" spans="1:3" ht="43.5" x14ac:dyDescent="0.5">
      <c r="B52" s="478" t="s">
        <v>592</v>
      </c>
      <c r="C52" s="479">
        <f>C53+C54+C55+C56+C57+C58+C59</f>
        <v>135400</v>
      </c>
    </row>
    <row r="53" spans="1:3" x14ac:dyDescent="0.5">
      <c r="B53" s="80" t="s">
        <v>593</v>
      </c>
      <c r="C53" s="88">
        <v>8400</v>
      </c>
    </row>
    <row r="54" spans="1:3" x14ac:dyDescent="0.5">
      <c r="B54" s="108" t="s">
        <v>594</v>
      </c>
      <c r="C54" s="88">
        <v>7000</v>
      </c>
    </row>
    <row r="55" spans="1:3" x14ac:dyDescent="0.5">
      <c r="B55" s="80" t="s">
        <v>595</v>
      </c>
      <c r="C55" s="88">
        <v>30000</v>
      </c>
    </row>
    <row r="56" spans="1:3" x14ac:dyDescent="0.5">
      <c r="B56" s="105" t="s">
        <v>596</v>
      </c>
      <c r="C56" s="88">
        <v>10000</v>
      </c>
    </row>
    <row r="57" spans="1:3" x14ac:dyDescent="0.5">
      <c r="B57" s="108" t="s">
        <v>597</v>
      </c>
      <c r="C57" s="88">
        <v>10000</v>
      </c>
    </row>
    <row r="58" spans="1:3" x14ac:dyDescent="0.5">
      <c r="B58" s="83" t="s">
        <v>598</v>
      </c>
      <c r="C58" s="88">
        <v>50000</v>
      </c>
    </row>
    <row r="59" spans="1:3" x14ac:dyDescent="0.5">
      <c r="B59" s="83" t="s">
        <v>599</v>
      </c>
      <c r="C59" s="88">
        <v>20000</v>
      </c>
    </row>
    <row r="60" spans="1:3" ht="43.5" x14ac:dyDescent="0.5">
      <c r="B60" s="480" t="s">
        <v>600</v>
      </c>
      <c r="C60" s="473">
        <f>C61+C62+C63+C64+C65+C66</f>
        <v>71900</v>
      </c>
    </row>
    <row r="61" spans="1:3" x14ac:dyDescent="0.5">
      <c r="B61" s="83" t="s">
        <v>593</v>
      </c>
      <c r="C61" s="87">
        <v>8400</v>
      </c>
    </row>
    <row r="62" spans="1:3" x14ac:dyDescent="0.5">
      <c r="B62" s="80" t="s">
        <v>601</v>
      </c>
      <c r="C62" s="87">
        <v>3500</v>
      </c>
    </row>
    <row r="63" spans="1:3" x14ac:dyDescent="0.5">
      <c r="B63" s="80" t="s">
        <v>602</v>
      </c>
      <c r="C63" s="87">
        <v>10000</v>
      </c>
    </row>
    <row r="64" spans="1:3" x14ac:dyDescent="0.5">
      <c r="B64" s="481" t="s">
        <v>603</v>
      </c>
      <c r="C64" s="87">
        <v>5000</v>
      </c>
    </row>
    <row r="65" spans="1:3" x14ac:dyDescent="0.5">
      <c r="B65" s="481" t="s">
        <v>604</v>
      </c>
      <c r="C65" s="87">
        <v>25000</v>
      </c>
    </row>
    <row r="66" spans="1:3" ht="22.5" thickBot="1" x14ac:dyDescent="0.55000000000000004">
      <c r="B66" s="481" t="s">
        <v>605</v>
      </c>
      <c r="C66" s="87">
        <v>20000</v>
      </c>
    </row>
    <row r="67" spans="1:3" ht="60.75" customHeight="1" thickBot="1" x14ac:dyDescent="0.55000000000000004">
      <c r="A67" s="468">
        <v>3.7</v>
      </c>
      <c r="B67" s="120" t="s">
        <v>606</v>
      </c>
      <c r="C67" s="477">
        <f>C68+C69+C70+C71+C72+C73+C74+C75+C76+C77</f>
        <v>3342000</v>
      </c>
    </row>
    <row r="68" spans="1:3" x14ac:dyDescent="0.5">
      <c r="B68" s="116" t="s">
        <v>607</v>
      </c>
      <c r="C68" s="88">
        <v>378000</v>
      </c>
    </row>
    <row r="69" spans="1:3" x14ac:dyDescent="0.5">
      <c r="B69" s="116" t="s">
        <v>608</v>
      </c>
      <c r="C69" s="88">
        <v>450000</v>
      </c>
    </row>
    <row r="70" spans="1:3" x14ac:dyDescent="0.5">
      <c r="B70" s="116" t="s">
        <v>609</v>
      </c>
      <c r="C70" s="88">
        <v>225000</v>
      </c>
    </row>
    <row r="71" spans="1:3" x14ac:dyDescent="0.5">
      <c r="B71" s="116" t="s">
        <v>610</v>
      </c>
      <c r="C71" s="88">
        <v>1125000</v>
      </c>
    </row>
    <row r="72" spans="1:3" x14ac:dyDescent="0.5">
      <c r="B72" s="481" t="s">
        <v>611</v>
      </c>
      <c r="C72" s="88">
        <v>54000</v>
      </c>
    </row>
    <row r="73" spans="1:3" x14ac:dyDescent="0.5">
      <c r="B73" s="481" t="s">
        <v>612</v>
      </c>
      <c r="C73" s="88">
        <v>120000</v>
      </c>
    </row>
    <row r="74" spans="1:3" x14ac:dyDescent="0.5">
      <c r="B74" s="481" t="s">
        <v>613</v>
      </c>
      <c r="C74" s="88">
        <v>52500</v>
      </c>
    </row>
    <row r="75" spans="1:3" x14ac:dyDescent="0.5">
      <c r="B75" s="481" t="s">
        <v>614</v>
      </c>
      <c r="C75" s="88">
        <v>112500</v>
      </c>
    </row>
    <row r="76" spans="1:3" x14ac:dyDescent="0.5">
      <c r="B76" s="481" t="s">
        <v>615</v>
      </c>
      <c r="C76" s="88">
        <v>750000</v>
      </c>
    </row>
    <row r="77" spans="1:3" ht="22.5" thickBot="1" x14ac:dyDescent="0.55000000000000004">
      <c r="B77" s="481" t="s">
        <v>616</v>
      </c>
      <c r="C77" s="88">
        <v>75000</v>
      </c>
    </row>
    <row r="78" spans="1:3" ht="38.25" thickBot="1" x14ac:dyDescent="0.55000000000000004">
      <c r="A78" s="468">
        <v>3.8</v>
      </c>
      <c r="B78" s="120" t="s">
        <v>617</v>
      </c>
      <c r="C78" s="477">
        <f>C79+C80+C81+C82+C83+C84+C85+C86+C87</f>
        <v>955500</v>
      </c>
    </row>
    <row r="79" spans="1:3" x14ac:dyDescent="0.5">
      <c r="B79" s="373" t="s">
        <v>618</v>
      </c>
      <c r="C79" s="482">
        <v>117600</v>
      </c>
    </row>
    <row r="80" spans="1:3" x14ac:dyDescent="0.5">
      <c r="B80" s="80" t="s">
        <v>619</v>
      </c>
      <c r="C80" s="482">
        <v>140000</v>
      </c>
    </row>
    <row r="81" spans="1:7" x14ac:dyDescent="0.5">
      <c r="B81" s="80" t="s">
        <v>620</v>
      </c>
      <c r="C81" s="482">
        <v>42000</v>
      </c>
    </row>
    <row r="82" spans="1:7" x14ac:dyDescent="0.5">
      <c r="B82" s="80" t="s">
        <v>621</v>
      </c>
      <c r="C82" s="482">
        <v>210000</v>
      </c>
    </row>
    <row r="83" spans="1:7" x14ac:dyDescent="0.5">
      <c r="B83" s="80" t="s">
        <v>622</v>
      </c>
      <c r="C83" s="482">
        <v>16800</v>
      </c>
    </row>
    <row r="84" spans="1:7" x14ac:dyDescent="0.5">
      <c r="B84" s="80" t="s">
        <v>623</v>
      </c>
      <c r="C84" s="483">
        <v>56000</v>
      </c>
    </row>
    <row r="85" spans="1:7" x14ac:dyDescent="0.5">
      <c r="B85" s="80" t="s">
        <v>624</v>
      </c>
      <c r="C85" s="483">
        <v>336000</v>
      </c>
    </row>
    <row r="86" spans="1:7" x14ac:dyDescent="0.5">
      <c r="B86" s="80" t="s">
        <v>625</v>
      </c>
      <c r="C86" s="88">
        <v>2100</v>
      </c>
    </row>
    <row r="87" spans="1:7" ht="22.5" thickBot="1" x14ac:dyDescent="0.55000000000000004">
      <c r="B87" s="80" t="s">
        <v>626</v>
      </c>
      <c r="C87" s="131">
        <v>35000</v>
      </c>
    </row>
    <row r="88" spans="1:7" ht="39" customHeight="1" thickBot="1" x14ac:dyDescent="0.55000000000000004">
      <c r="A88" s="468">
        <v>3.9</v>
      </c>
      <c r="B88" s="120" t="s">
        <v>627</v>
      </c>
      <c r="C88" s="477">
        <f>C89+C90+C91+C92+C93+C94+C95+C96+C97</f>
        <v>143200</v>
      </c>
    </row>
    <row r="89" spans="1:7" x14ac:dyDescent="0.5">
      <c r="B89" s="373" t="s">
        <v>628</v>
      </c>
      <c r="C89" s="482">
        <v>10000</v>
      </c>
    </row>
    <row r="90" spans="1:7" x14ac:dyDescent="0.5">
      <c r="B90" s="80" t="s">
        <v>629</v>
      </c>
      <c r="C90" s="482">
        <v>16800</v>
      </c>
    </row>
    <row r="91" spans="1:7" x14ac:dyDescent="0.5">
      <c r="B91" s="80" t="s">
        <v>630</v>
      </c>
      <c r="C91" s="482">
        <v>16000</v>
      </c>
      <c r="G91" s="118"/>
    </row>
    <row r="92" spans="1:7" x14ac:dyDescent="0.5">
      <c r="B92" s="80" t="s">
        <v>631</v>
      </c>
      <c r="C92" s="482">
        <v>80000</v>
      </c>
    </row>
    <row r="93" spans="1:7" x14ac:dyDescent="0.5">
      <c r="B93" s="80" t="s">
        <v>632</v>
      </c>
      <c r="C93" s="482">
        <v>2400</v>
      </c>
    </row>
    <row r="94" spans="1:7" x14ac:dyDescent="0.5">
      <c r="B94" s="80" t="s">
        <v>633</v>
      </c>
      <c r="C94" s="483">
        <v>4000</v>
      </c>
    </row>
    <row r="95" spans="1:7" x14ac:dyDescent="0.5">
      <c r="B95" s="80" t="s">
        <v>634</v>
      </c>
      <c r="C95" s="88">
        <v>5600</v>
      </c>
    </row>
    <row r="96" spans="1:7" x14ac:dyDescent="0.5">
      <c r="B96" s="80" t="s">
        <v>635</v>
      </c>
      <c r="C96" s="131">
        <v>7500</v>
      </c>
    </row>
    <row r="97" spans="1:7" ht="22.5" thickBot="1" x14ac:dyDescent="0.55000000000000004">
      <c r="B97" s="80" t="s">
        <v>636</v>
      </c>
      <c r="C97" s="131">
        <v>900</v>
      </c>
    </row>
    <row r="98" spans="1:7" ht="24" customHeight="1" thickBot="1" x14ac:dyDescent="0.55000000000000004">
      <c r="A98" s="484">
        <v>3.1</v>
      </c>
      <c r="B98" s="120" t="s">
        <v>637</v>
      </c>
      <c r="C98" s="477">
        <f>C99+C100+C101+C102+C103+C104+C105+C106+C107+C108+C109+C110+C111+C112+C113</f>
        <v>9453700</v>
      </c>
    </row>
    <row r="99" spans="1:7" x14ac:dyDescent="0.5">
      <c r="B99" s="373" t="s">
        <v>638</v>
      </c>
      <c r="C99" s="482">
        <v>9000000</v>
      </c>
    </row>
    <row r="100" spans="1:7" x14ac:dyDescent="0.5">
      <c r="B100" s="80" t="s">
        <v>639</v>
      </c>
      <c r="C100" s="482">
        <v>150000</v>
      </c>
    </row>
    <row r="101" spans="1:7" x14ac:dyDescent="0.5">
      <c r="B101" s="80" t="s">
        <v>640</v>
      </c>
      <c r="C101" s="482">
        <v>60000</v>
      </c>
    </row>
    <row r="102" spans="1:7" x14ac:dyDescent="0.5">
      <c r="B102" s="80" t="s">
        <v>641</v>
      </c>
      <c r="C102" s="482">
        <v>14000</v>
      </c>
    </row>
    <row r="103" spans="1:7" x14ac:dyDescent="0.5">
      <c r="B103" s="80" t="s">
        <v>642</v>
      </c>
      <c r="C103" s="482">
        <v>20000</v>
      </c>
    </row>
    <row r="104" spans="1:7" x14ac:dyDescent="0.5">
      <c r="B104" s="80" t="s">
        <v>643</v>
      </c>
      <c r="C104" s="483">
        <v>1000</v>
      </c>
    </row>
    <row r="105" spans="1:7" x14ac:dyDescent="0.5">
      <c r="B105" s="80" t="s">
        <v>644</v>
      </c>
      <c r="C105" s="88">
        <v>50000</v>
      </c>
    </row>
    <row r="106" spans="1:7" x14ac:dyDescent="0.5">
      <c r="B106" s="80" t="s">
        <v>645</v>
      </c>
      <c r="C106" s="131">
        <v>5000</v>
      </c>
    </row>
    <row r="107" spans="1:7" x14ac:dyDescent="0.5">
      <c r="B107" s="80" t="s">
        <v>646</v>
      </c>
      <c r="C107" s="482">
        <v>10000</v>
      </c>
      <c r="G107" s="118"/>
    </row>
    <row r="108" spans="1:7" x14ac:dyDescent="0.5">
      <c r="B108" s="80" t="s">
        <v>647</v>
      </c>
      <c r="C108" s="482">
        <v>10000</v>
      </c>
    </row>
    <row r="109" spans="1:7" x14ac:dyDescent="0.5">
      <c r="B109" s="80" t="s">
        <v>648</v>
      </c>
      <c r="C109" s="482">
        <v>1200</v>
      </c>
    </row>
    <row r="110" spans="1:7" x14ac:dyDescent="0.5">
      <c r="B110" s="80" t="s">
        <v>649</v>
      </c>
      <c r="C110" s="483">
        <v>20000</v>
      </c>
    </row>
    <row r="111" spans="1:7" x14ac:dyDescent="0.5">
      <c r="B111" s="80" t="s">
        <v>650</v>
      </c>
      <c r="C111" s="88">
        <v>100000</v>
      </c>
    </row>
    <row r="112" spans="1:7" x14ac:dyDescent="0.5">
      <c r="B112" s="80" t="s">
        <v>651</v>
      </c>
      <c r="C112" s="131">
        <v>7500</v>
      </c>
    </row>
    <row r="113" spans="1:3" ht="22.5" thickBot="1" x14ac:dyDescent="0.55000000000000004">
      <c r="B113" s="80" t="s">
        <v>652</v>
      </c>
      <c r="C113" s="131">
        <v>5000</v>
      </c>
    </row>
    <row r="114" spans="1:3" ht="46.5" customHeight="1" thickBot="1" x14ac:dyDescent="0.55000000000000004">
      <c r="A114" s="484">
        <v>3.11</v>
      </c>
      <c r="B114" s="120" t="s">
        <v>653</v>
      </c>
      <c r="C114" s="477">
        <f>C115+C116</f>
        <v>190000</v>
      </c>
    </row>
    <row r="115" spans="1:3" x14ac:dyDescent="0.5">
      <c r="B115" s="373" t="s">
        <v>654</v>
      </c>
      <c r="C115" s="482">
        <v>187500</v>
      </c>
    </row>
    <row r="116" spans="1:3" ht="22.5" thickBot="1" x14ac:dyDescent="0.55000000000000004">
      <c r="B116" s="80" t="s">
        <v>655</v>
      </c>
      <c r="C116" s="482">
        <v>2500</v>
      </c>
    </row>
    <row r="117" spans="1:3" ht="22.5" thickBot="1" x14ac:dyDescent="0.55000000000000004">
      <c r="A117" s="484">
        <v>3.12</v>
      </c>
      <c r="B117" s="120" t="s">
        <v>539</v>
      </c>
      <c r="C117" s="477">
        <f>C118+C119+C120+C121</f>
        <v>28000</v>
      </c>
    </row>
    <row r="118" spans="1:3" x14ac:dyDescent="0.5">
      <c r="B118" s="80" t="s">
        <v>656</v>
      </c>
      <c r="C118" s="482">
        <v>5000</v>
      </c>
    </row>
    <row r="119" spans="1:3" x14ac:dyDescent="0.5">
      <c r="B119" s="80" t="s">
        <v>657</v>
      </c>
      <c r="C119" s="482">
        <v>6000</v>
      </c>
    </row>
    <row r="120" spans="1:3" x14ac:dyDescent="0.5">
      <c r="B120" s="80" t="s">
        <v>658</v>
      </c>
      <c r="C120" s="483">
        <v>8000</v>
      </c>
    </row>
    <row r="121" spans="1:3" x14ac:dyDescent="0.5">
      <c r="B121" s="80" t="s">
        <v>659</v>
      </c>
      <c r="C121" s="88">
        <v>9000</v>
      </c>
    </row>
    <row r="122" spans="1:3" ht="24" x14ac:dyDescent="0.55000000000000004">
      <c r="A122" s="380"/>
      <c r="B122" s="381" t="s">
        <v>2</v>
      </c>
      <c r="C122" s="390">
        <f>C5+C16+C19</f>
        <v>21929200</v>
      </c>
    </row>
  </sheetData>
  <mergeCells count="2">
    <mergeCell ref="A1:C1"/>
    <mergeCell ref="A17:A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9"/>
  <sheetViews>
    <sheetView workbookViewId="0">
      <selection activeCell="C23" sqref="C23"/>
    </sheetView>
  </sheetViews>
  <sheetFormatPr defaultRowHeight="21" x14ac:dyDescent="0.45"/>
  <cols>
    <col min="1" max="1" width="9" style="485"/>
    <col min="2" max="2" width="69.875" style="485" customWidth="1"/>
    <col min="3" max="3" width="14.125" style="485" customWidth="1"/>
    <col min="4" max="4" width="8.625" style="485" bestFit="1" customWidth="1"/>
    <col min="5" max="5" width="11.375" style="485" bestFit="1" customWidth="1"/>
    <col min="6" max="16384" width="9" style="485"/>
  </cols>
  <sheetData>
    <row r="1" spans="1:5" ht="23.25" thickBot="1" x14ac:dyDescent="0.5">
      <c r="A1" s="823" t="s">
        <v>16</v>
      </c>
      <c r="B1" s="823"/>
      <c r="C1" s="823"/>
    </row>
    <row r="2" spans="1:5" ht="21.75" thickBot="1" x14ac:dyDescent="0.5">
      <c r="A2" s="877" t="s">
        <v>660</v>
      </c>
      <c r="B2" s="877"/>
      <c r="C2" s="877"/>
      <c r="D2" s="384"/>
      <c r="E2" s="486">
        <v>23655350</v>
      </c>
    </row>
    <row r="3" spans="1:5" ht="21.75" thickBot="1" x14ac:dyDescent="0.5">
      <c r="A3" s="47"/>
      <c r="B3" s="47"/>
      <c r="C3" s="48"/>
    </row>
    <row r="4" spans="1:5" x14ac:dyDescent="0.45">
      <c r="A4" s="49"/>
      <c r="B4" s="49" t="s">
        <v>17</v>
      </c>
      <c r="C4" s="50" t="s">
        <v>18</v>
      </c>
    </row>
    <row r="5" spans="1:5" ht="21.75" thickBot="1" x14ac:dyDescent="0.5">
      <c r="A5" s="53"/>
      <c r="B5" s="54" t="s">
        <v>661</v>
      </c>
      <c r="C5" s="55" t="s">
        <v>19</v>
      </c>
    </row>
    <row r="6" spans="1:5" ht="21.75" thickBot="1" x14ac:dyDescent="0.5">
      <c r="A6" s="785"/>
      <c r="B6" s="54"/>
      <c r="C6" s="55">
        <f>C7+C21+C31+C43+C55+C59+C65+C80</f>
        <v>23655350</v>
      </c>
    </row>
    <row r="7" spans="1:5" ht="21.75" thickBot="1" x14ac:dyDescent="0.5">
      <c r="A7" s="362">
        <v>1</v>
      </c>
      <c r="B7" s="85" t="s">
        <v>72</v>
      </c>
      <c r="C7" s="384">
        <f>SUM(C8:C20)</f>
        <v>7300000</v>
      </c>
    </row>
    <row r="8" spans="1:5" ht="21.75" x14ac:dyDescent="0.5">
      <c r="A8" s="53"/>
      <c r="B8" s="364" t="str">
        <f>'[1]4. แบบ ก. 9'!C18</f>
        <v>ผู้จัดการโครงการ</v>
      </c>
      <c r="C8" s="365">
        <f>'[1]4. แบบ ก. 9'!P18</f>
        <v>780000</v>
      </c>
    </row>
    <row r="9" spans="1:5" ht="21.75" x14ac:dyDescent="0.5">
      <c r="A9" s="53"/>
      <c r="B9" s="364" t="str">
        <f>'[1]4. แบบ ก. 9'!C19</f>
        <v>ผู้เชี่ยวชาญด้านสิ่งแวดล้อม ความปลอดภัยและอาชีวอนามัย</v>
      </c>
      <c r="C9" s="365">
        <f>'[1]4. แบบ ก. 9'!P19</f>
        <v>400000</v>
      </c>
    </row>
    <row r="10" spans="1:5" ht="21.75" x14ac:dyDescent="0.5">
      <c r="A10" s="53"/>
      <c r="B10" s="364" t="str">
        <f>'[1]4. แบบ ก. 9'!C20</f>
        <v>ผู้เชี่ยวชาญด้านเศรษฐกิจและสังคม</v>
      </c>
      <c r="C10" s="365">
        <f>'[1]4. แบบ ก. 9'!P20</f>
        <v>400000</v>
      </c>
    </row>
    <row r="11" spans="1:5" ht="21.75" x14ac:dyDescent="0.5">
      <c r="A11" s="53"/>
      <c r="B11" s="364" t="str">
        <f>'[1]4. แบบ ก. 9'!C21</f>
        <v>ผู้เชี่ยวชาญด้านสถิติและเทคโนโลยีสารสนเทศ</v>
      </c>
      <c r="C11" s="365">
        <f>'[1]4. แบบ ก. 9'!P21</f>
        <v>320000</v>
      </c>
    </row>
    <row r="12" spans="1:5" ht="21.75" x14ac:dyDescent="0.5">
      <c r="A12" s="53"/>
      <c r="B12" s="364" t="str">
        <f>'[1]4. แบบ ก. 9'!C22</f>
        <v>ผู้เชี่ยวชาญด้านการจัดการอุตสาหกรรม</v>
      </c>
      <c r="C12" s="365">
        <f>'[1]4. แบบ ก. 9'!P22</f>
        <v>320000</v>
      </c>
    </row>
    <row r="13" spans="1:5" ht="21.75" x14ac:dyDescent="0.5">
      <c r="A13" s="53"/>
      <c r="B13" s="364" t="str">
        <f>'[1]4. แบบ ก. 9'!C23</f>
        <v>ผู้เชี่ยวชาญด้านการวางแผนพัฒนา</v>
      </c>
      <c r="C13" s="365">
        <f>'[1]4. แบบ ก. 9'!P23</f>
        <v>320000</v>
      </c>
    </row>
    <row r="14" spans="1:5" ht="21.75" x14ac:dyDescent="0.5">
      <c r="A14" s="53"/>
      <c r="B14" s="364" t="str">
        <f>'[1]4. แบบ ก. 9'!C24</f>
        <v>ที่ปรึกษาด้านการมีส่วนร่วมของประชาชน</v>
      </c>
      <c r="C14" s="365">
        <f>'[1]4. แบบ ก. 9'!P24</f>
        <v>600000</v>
      </c>
    </row>
    <row r="15" spans="1:5" ht="21.75" x14ac:dyDescent="0.5">
      <c r="A15" s="53"/>
      <c r="B15" s="364" t="str">
        <f>'[1]4. แบบ ก. 9'!C25</f>
        <v>ผู้จัดการด้านการตรวจประเมินและการรับรองระบบ</v>
      </c>
      <c r="C15" s="365">
        <f>'[1]4. แบบ ก. 9'!P25</f>
        <v>320000</v>
      </c>
    </row>
    <row r="16" spans="1:5" ht="21.75" x14ac:dyDescent="0.5">
      <c r="A16" s="53"/>
      <c r="B16" s="364" t="str">
        <f>'[1]4. แบบ ก. 9'!C26</f>
        <v>นักวิชาการเศรษฐกิจหรือสังคม</v>
      </c>
      <c r="C16" s="365">
        <f>'[1]4. แบบ ก. 9'!P26</f>
        <v>200000</v>
      </c>
    </row>
    <row r="17" spans="1:3" ht="21.75" x14ac:dyDescent="0.5">
      <c r="A17" s="53"/>
      <c r="B17" s="364" t="str">
        <f>'[1]4. แบบ ก. 9'!C27</f>
        <v>วิศวกร/นักวิทยาศาสตร์ด้านสิ่งแวดล้อม</v>
      </c>
      <c r="C17" s="365">
        <f>'[1]4. แบบ ก. 9'!P27</f>
        <v>400000</v>
      </c>
    </row>
    <row r="18" spans="1:3" ht="21.75" x14ac:dyDescent="0.5">
      <c r="A18" s="53"/>
      <c r="B18" s="364" t="str">
        <f>'[1]4. แบบ ก. 9'!C28</f>
        <v xml:space="preserve">เจ้าหน้าที่สนับสนุนโครงการ  </v>
      </c>
      <c r="C18" s="365">
        <f>'[1]4. แบบ ก. 9'!P28</f>
        <v>1350000</v>
      </c>
    </row>
    <row r="19" spans="1:3" ht="21.75" x14ac:dyDescent="0.5">
      <c r="A19" s="53"/>
      <c r="B19" s="364" t="str">
        <f>'[1]4. แบบ ก. 9'!C29</f>
        <v>ผู้ประสานงานโครงการ</v>
      </c>
      <c r="C19" s="365">
        <f>'[1]4. แบบ ก. 9'!P29</f>
        <v>1350000</v>
      </c>
    </row>
    <row r="20" spans="1:3" ht="22.5" thickBot="1" x14ac:dyDescent="0.55000000000000004">
      <c r="A20" s="53"/>
      <c r="B20" s="364" t="str">
        <f>'[1]4. แบบ ก. 9'!C30</f>
        <v xml:space="preserve">เจ้าหน้าที่สนับสนุนโครงการ (ประจำกรมโรงงาน)  </v>
      </c>
      <c r="C20" s="365">
        <f>'[1]4. แบบ ก. 9'!P30</f>
        <v>540000</v>
      </c>
    </row>
    <row r="21" spans="1:3" ht="38.25" thickBot="1" x14ac:dyDescent="0.5">
      <c r="A21" s="362">
        <v>2</v>
      </c>
      <c r="B21" s="111" t="s">
        <v>662</v>
      </c>
      <c r="C21" s="384">
        <f>SUM(C22:C30)</f>
        <v>1321100</v>
      </c>
    </row>
    <row r="22" spans="1:3" ht="21.75" x14ac:dyDescent="0.5">
      <c r="A22" s="53"/>
      <c r="B22" s="364" t="str">
        <f>'[1]4. แบบ ก. 9'!C32</f>
        <v>เบี้ยเลี้ยงเจ้าหน้าที่ (240 x 7 คน x 3 วัน x 15 จังหวัด)</v>
      </c>
      <c r="C22" s="365">
        <f>'[1]4. แบบ ก. 9'!P32</f>
        <v>75600</v>
      </c>
    </row>
    <row r="23" spans="1:3" ht="21.75" x14ac:dyDescent="0.5">
      <c r="A23" s="53"/>
      <c r="B23" s="364" t="str">
        <f>'[1]4. แบบ ก. 9'!C33</f>
        <v>ค่าที่พักเจ้าหน้าที่ (1200 บาท x จำนวน 7 คน x 3 คืน x 15 จังหวัด)</v>
      </c>
      <c r="C23" s="365">
        <f>'[1]4. แบบ ก. 9'!P33</f>
        <v>378000</v>
      </c>
    </row>
    <row r="24" spans="1:3" ht="21.75" x14ac:dyDescent="0.5">
      <c r="A24" s="53"/>
      <c r="B24" s="364" t="str">
        <f>'[1]4. แบบ ก. 9'!C34</f>
        <v>ค่าเครื่องบินเจ้าหน้าที่ (5,000 บาท x  7 คน x 3 จังหวัด) (สงขลา, สุราษฏร์ธานี, ขอนแก่น)</v>
      </c>
      <c r="C24" s="365">
        <f>'[1]4. แบบ ก. 9'!P34</f>
        <v>105000</v>
      </c>
    </row>
    <row r="25" spans="1:3" ht="21.75" x14ac:dyDescent="0.5">
      <c r="A25" s="53"/>
      <c r="B25" s="364" t="str">
        <f>'[1]4. แบบ ก. 9'!C35</f>
        <v>ค่ารถโดยสาร (รถตู้รวมค่าน้ำมัน) (2500 บาท x 3 วัน x 15 จังหวัด)</v>
      </c>
      <c r="C25" s="365">
        <f>'[1]4. แบบ ก. 9'!P35</f>
        <v>112500</v>
      </c>
    </row>
    <row r="26" spans="1:3" ht="21.75" x14ac:dyDescent="0.5">
      <c r="A26" s="53"/>
      <c r="B26" s="364" t="str">
        <f>'[1]4. แบบ ก. 9'!C36</f>
        <v>ค่าอุปกรณ์จัดเก็บฐานข้อมูลในรูปอิเล็กทรอนิกส์ไฟล์</v>
      </c>
      <c r="C26" s="365">
        <f>'[1]4. แบบ ก. 9'!P36</f>
        <v>20000</v>
      </c>
    </row>
    <row r="27" spans="1:3" ht="21.75" x14ac:dyDescent="0.5">
      <c r="A27" s="53"/>
      <c r="B27" s="487" t="str">
        <f>'[1]4. แบบ ก. 9'!C37</f>
        <v>ค่าอุปกรณ์จัดทำฐานข้อมูลในรูปอิเล็กทรอนิกส์ไฟล์</v>
      </c>
      <c r="C27" s="365"/>
    </row>
    <row r="28" spans="1:3" ht="21.75" x14ac:dyDescent="0.5">
      <c r="A28" s="53"/>
      <c r="B28" s="364" t="str">
        <f>'[1]4. แบบ ก. 9'!C38</f>
        <v>- คอมพิวเตอร์โน้ตบุ๊ก</v>
      </c>
      <c r="C28" s="365">
        <f>'[1]4. แบบ ก. 9'!P38</f>
        <v>105000</v>
      </c>
    </row>
    <row r="29" spans="1:3" ht="21.75" x14ac:dyDescent="0.5">
      <c r="A29" s="53"/>
      <c r="B29" s="364" t="str">
        <f>'[1]4. แบบ ก. 9'!C39</f>
        <v>- คอมพิวเตอร์แท็บเล็ต (30,000 บาท x 15 จังหวัด)</v>
      </c>
      <c r="C29" s="365">
        <f>'[1]4. แบบ ก. 9'!P39</f>
        <v>450000</v>
      </c>
    </row>
    <row r="30" spans="1:3" ht="22.5" thickBot="1" x14ac:dyDescent="0.55000000000000004">
      <c r="A30" s="53"/>
      <c r="B30" s="364" t="str">
        <f>'[1]4. แบบ ก. 9'!C40</f>
        <v>ค่าใช้จ่ายอื่นๆ (50,000 บาท x 15 จังหวัด)</v>
      </c>
      <c r="C30" s="365">
        <f>'[1]4. แบบ ก. 9'!P40</f>
        <v>75000</v>
      </c>
    </row>
    <row r="31" spans="1:3" ht="38.25" thickBot="1" x14ac:dyDescent="0.5">
      <c r="A31" s="362">
        <v>3</v>
      </c>
      <c r="B31" s="111" t="s">
        <v>663</v>
      </c>
      <c r="C31" s="384">
        <f>SUM(C32:C42)</f>
        <v>3936600</v>
      </c>
    </row>
    <row r="32" spans="1:3" ht="21.75" x14ac:dyDescent="0.5">
      <c r="A32" s="53"/>
      <c r="B32" s="364" t="str">
        <f>'[1]4. แบบ ก. 9'!C42</f>
        <v>ค่าเอกสารประกอบการประชุม (200 บาท x 50 คน x 2 วัน x 1 ครั้ง x 15 จังหวัด)</v>
      </c>
      <c r="C32" s="365">
        <f>'[1]4. แบบ ก. 9'!P42</f>
        <v>300000</v>
      </c>
    </row>
    <row r="33" spans="1:3" ht="21.75" x14ac:dyDescent="0.5">
      <c r="A33" s="53"/>
      <c r="B33" s="364" t="str">
        <f>'[1]4. แบบ ก. 9'!C43</f>
        <v>ค่าสถานที่จัดประชุม (50,000 บาท x 2 วัน x  1 ครั้ง x 15 จังหวัด)</v>
      </c>
      <c r="C33" s="365">
        <f>'[1]4. แบบ ก. 9'!P43</f>
        <v>1500000</v>
      </c>
    </row>
    <row r="34" spans="1:3" ht="21.75" x14ac:dyDescent="0.5">
      <c r="A34" s="53"/>
      <c r="B34" s="364" t="str">
        <f>'[1]4. แบบ ก. 9'!C44</f>
        <v>ค่าอาหารว่าง (50 บาท x 50 คน x 4 มื้อ x 1 ครั้ง x 15 จังหวัด)</v>
      </c>
      <c r="C34" s="365">
        <f>'[1]4. แบบ ก. 9'!P44</f>
        <v>150000</v>
      </c>
    </row>
    <row r="35" spans="1:3" ht="21.75" x14ac:dyDescent="0.5">
      <c r="A35" s="53"/>
      <c r="B35" s="364" t="str">
        <f>'[1]4. แบบ ก. 9'!C45</f>
        <v>ค่าอาหารกลางวัน  (500 บาท x 50 คน x 2 มื้อ x 1 ครั้ง x 15 จังหวัด)</v>
      </c>
      <c r="C35" s="365">
        <f>'[1]4. แบบ ก. 9'!P45</f>
        <v>750000</v>
      </c>
    </row>
    <row r="36" spans="1:3" ht="21.75" x14ac:dyDescent="0.5">
      <c r="A36" s="53"/>
      <c r="B36" s="364" t="str">
        <f>'[1]4. แบบ ก. 9'!C46</f>
        <v>ค่าที่พักผู้เข้าร่วมอบรม (1,200 บาท x 50 คน x 1 คืน x 15 จังหวัด)</v>
      </c>
      <c r="C36" s="365">
        <f>'[1]4. แบบ ก. 9'!P46</f>
        <v>900000</v>
      </c>
    </row>
    <row r="37" spans="1:3" ht="21.75" x14ac:dyDescent="0.5">
      <c r="A37" s="53"/>
      <c r="B37" s="364" t="str">
        <f>'[1]4. แบบ ก. 9'!C47</f>
        <v>ค่าที่พักเจ้าหน้าที่  (1,200 บาท x 5 คน x 2 คืน x 15 จังหวัด)</v>
      </c>
      <c r="C37" s="365">
        <f>'[1]4. แบบ ก. 9'!P47</f>
        <v>180000</v>
      </c>
    </row>
    <row r="38" spans="1:3" ht="21.75" x14ac:dyDescent="0.5">
      <c r="A38" s="53"/>
      <c r="B38" s="364" t="str">
        <f>'[1]4. แบบ ก. 9'!C48</f>
        <v>ค่ารถ รวมน้ำมัน  (2,500 บาท x 1 คัน x  2 วัน x 15 จังหวัด)</v>
      </c>
      <c r="C38" s="365">
        <f>'[1]4. แบบ ก. 9'!P48</f>
        <v>75000</v>
      </c>
    </row>
    <row r="39" spans="1:3" ht="21.75" x14ac:dyDescent="0.5">
      <c r="A39" s="53"/>
      <c r="B39" s="364" t="str">
        <f>'[1]4. แบบ ก. 9'!C49</f>
        <v>เบี้ยเลี้ยงเจ้าหน้าที่ (240 บาท x 5 คน x  2 วัน x 15 จังหวัด</v>
      </c>
      <c r="C39" s="365">
        <f>'[1]4. แบบ ก. 9'!P49</f>
        <v>36000</v>
      </c>
    </row>
    <row r="40" spans="1:3" ht="21.75" x14ac:dyDescent="0.5">
      <c r="A40" s="53"/>
      <c r="B40" s="364" t="str">
        <f>'[1]4. แบบ ก. 9'!C50</f>
        <v>ค่าสมนาคุณวิทยากร (1,600 บาท x 8 ชั่วโมง x 2 วัน)</v>
      </c>
      <c r="C40" s="365">
        <f>'[1]4. แบบ ก. 9'!P50</f>
        <v>25600</v>
      </c>
    </row>
    <row r="41" spans="1:3" ht="21.75" x14ac:dyDescent="0.5">
      <c r="A41" s="53"/>
      <c r="B41" s="364" t="str">
        <f>'[1]4. แบบ ก. 9'!C51</f>
        <v>ค่าเครื่องบินไป-กลับ วิทยากร (5,000 บาท x  1 คน x 3 จังหวัด) (สงขลา, สุราษฏร์ธานี, ขอนแก่น)</v>
      </c>
      <c r="C41" s="365">
        <f>'[1]4. แบบ ก. 9'!P51</f>
        <v>15000</v>
      </c>
    </row>
    <row r="42" spans="1:3" ht="22.5" thickBot="1" x14ac:dyDescent="0.55000000000000004">
      <c r="A42" s="53"/>
      <c r="B42" s="364" t="str">
        <f>'[1]4. แบบ ก. 9'!C52</f>
        <v>ค่าใช้จ่ายอื่นๆ</v>
      </c>
      <c r="C42" s="365">
        <f>'[1]4. แบบ ก. 9'!P52</f>
        <v>5000</v>
      </c>
    </row>
    <row r="43" spans="1:3" ht="38.25" thickBot="1" x14ac:dyDescent="0.5">
      <c r="A43" s="362">
        <v>4</v>
      </c>
      <c r="B43" s="111" t="s">
        <v>664</v>
      </c>
      <c r="C43" s="384">
        <f>SUM(C44:C54)</f>
        <v>3936600</v>
      </c>
    </row>
    <row r="44" spans="1:3" ht="21.75" x14ac:dyDescent="0.5">
      <c r="A44" s="53"/>
      <c r="B44" s="364" t="str">
        <f>'[1]4. แบบ ก. 9'!C54</f>
        <v>ค่าเอกสารประกอบการประชุม (200 บาท x 50 คน x 2 วัน x 1 ครั้ง x 15 จังหวัด)</v>
      </c>
      <c r="C44" s="365">
        <f>'[1]4. แบบ ก. 9'!P54</f>
        <v>300000</v>
      </c>
    </row>
    <row r="45" spans="1:3" ht="21.75" x14ac:dyDescent="0.5">
      <c r="A45" s="53"/>
      <c r="B45" s="364" t="str">
        <f>'[1]4. แบบ ก. 9'!C55</f>
        <v>ค่าสถานที่จัดประชุม (50,000 บาท x 2 วัน x  1 ครั้ง x 15 จังหวัด)</v>
      </c>
      <c r="C45" s="365">
        <f>'[1]4. แบบ ก. 9'!P55</f>
        <v>1500000</v>
      </c>
    </row>
    <row r="46" spans="1:3" ht="21.75" x14ac:dyDescent="0.5">
      <c r="A46" s="53"/>
      <c r="B46" s="364" t="str">
        <f>'[1]4. แบบ ก. 9'!C56</f>
        <v>ค่าอาหารว่าง (50 บาท x 50 คน x 4 มื้อ x 1 ครั้ง x 15 จังหวัด)</v>
      </c>
      <c r="C46" s="365">
        <f>'[1]4. แบบ ก. 9'!P56</f>
        <v>150000</v>
      </c>
    </row>
    <row r="47" spans="1:3" ht="21.75" x14ac:dyDescent="0.5">
      <c r="A47" s="53"/>
      <c r="B47" s="364" t="str">
        <f>'[1]4. แบบ ก. 9'!C57</f>
        <v>ค่าอาหารกลางวัน  (500 บาท x 50 คน x 2 มื้อ x 1 ครั้ง x 15 จังหวัด)</v>
      </c>
      <c r="C47" s="365">
        <f>'[1]4. แบบ ก. 9'!P57</f>
        <v>750000</v>
      </c>
    </row>
    <row r="48" spans="1:3" ht="21.75" x14ac:dyDescent="0.5">
      <c r="A48" s="53"/>
      <c r="B48" s="364" t="str">
        <f>'[1]4. แบบ ก. 9'!C58</f>
        <v>ค่าที่พักผู้เข้าร่วมอบรม (1,200 บาท x 50 คน x 1 คืน x 15 จังหวัด)</v>
      </c>
      <c r="C48" s="365">
        <f>'[1]4. แบบ ก. 9'!P58</f>
        <v>900000</v>
      </c>
    </row>
    <row r="49" spans="1:3" ht="21.75" x14ac:dyDescent="0.5">
      <c r="A49" s="53"/>
      <c r="B49" s="364" t="str">
        <f>'[1]4. แบบ ก. 9'!C59</f>
        <v>ที่พักเจ้าหน้าที่  (1,200 บาท x 5 คน x 2 คืน x 15 จังหวัด)</v>
      </c>
      <c r="C49" s="365">
        <f>'[1]4. แบบ ก. 9'!P59</f>
        <v>180000</v>
      </c>
    </row>
    <row r="50" spans="1:3" ht="21.75" x14ac:dyDescent="0.5">
      <c r="A50" s="53"/>
      <c r="B50" s="364" t="str">
        <f>'[1]4. แบบ ก. 9'!C60</f>
        <v>ค่ารถ รวมน้ำมัน  (2,500 บาท x 1 คัน x  2 วัน x 15 จังหวัด)</v>
      </c>
      <c r="C50" s="365">
        <f>'[1]4. แบบ ก. 9'!P60</f>
        <v>75000</v>
      </c>
    </row>
    <row r="51" spans="1:3" ht="21.75" x14ac:dyDescent="0.5">
      <c r="A51" s="53"/>
      <c r="B51" s="364" t="str">
        <f>'[1]4. แบบ ก. 9'!C61</f>
        <v>เบี้ยเลี้ยงเจ้าหน้าที่ (240 บาท x 5 คน x  2 วัน x 15 จังหวัด</v>
      </c>
      <c r="C51" s="365">
        <f>'[1]4. แบบ ก. 9'!P61</f>
        <v>36000</v>
      </c>
    </row>
    <row r="52" spans="1:3" ht="21.75" x14ac:dyDescent="0.5">
      <c r="A52" s="53"/>
      <c r="B52" s="364" t="str">
        <f>'[1]4. แบบ ก. 9'!C62</f>
        <v>ค่าสมนาคุณวิทยากร (1,600 บาท x 8 ชั่วโมง x 2 วัน)</v>
      </c>
      <c r="C52" s="365">
        <f>'[1]4. แบบ ก. 9'!P62</f>
        <v>25600</v>
      </c>
    </row>
    <row r="53" spans="1:3" ht="21.75" x14ac:dyDescent="0.5">
      <c r="A53" s="53"/>
      <c r="B53" s="364" t="str">
        <f>'[1]4. แบบ ก. 9'!C63</f>
        <v>ค่าเครื่องบินไป-กลับ วิทยากร (5,000 บาท x  1 คน x 3 จังหวัด) (สงขลา, สุราษฏร์ธานี, ขอนแก่น)</v>
      </c>
      <c r="C53" s="365">
        <f>'[1]4. แบบ ก. 9'!P63</f>
        <v>15000</v>
      </c>
    </row>
    <row r="54" spans="1:3" ht="22.5" thickBot="1" x14ac:dyDescent="0.55000000000000004">
      <c r="A54" s="53"/>
      <c r="B54" s="364" t="str">
        <f>'[1]4. แบบ ก. 9'!C64</f>
        <v>ค่าใช้จ่ายอื่นๆ</v>
      </c>
      <c r="C54" s="365">
        <f>'[1]4. แบบ ก. 9'!P64</f>
        <v>5000</v>
      </c>
    </row>
    <row r="55" spans="1:3" ht="21.75" thickBot="1" x14ac:dyDescent="0.5">
      <c r="A55" s="362">
        <v>5</v>
      </c>
      <c r="B55" s="111" t="s">
        <v>665</v>
      </c>
      <c r="C55" s="384">
        <f>SUM(C56:C58)</f>
        <v>2103000</v>
      </c>
    </row>
    <row r="56" spans="1:3" ht="21.75" x14ac:dyDescent="0.5">
      <c r="A56" s="53"/>
      <c r="B56" s="364" t="str">
        <f>'[1]4. แบบ ก. 9'!C66</f>
        <v>ประชาสัมพันธ์ผ่านวิทยุชุมชน ( 100 บาท/30 วินาที x 30 นาที x 2 ครั้ง x 15 จังหวัด)</v>
      </c>
      <c r="C56" s="365">
        <f>'[1]4. แบบ ก. 9'!P66</f>
        <v>180000</v>
      </c>
    </row>
    <row r="57" spans="1:3" ht="21.75" x14ac:dyDescent="0.5">
      <c r="A57" s="53"/>
      <c r="B57" s="364" t="str">
        <f>'[1]4. แบบ ก. 9'!C67</f>
        <v>ประชาสัมพันธ์ผ่านหนังสือพิมพ์ (341,000 บาท x 3 ฉบับ)</v>
      </c>
      <c r="C57" s="365">
        <f>'[1]4. แบบ ก. 9'!P67</f>
        <v>1023000</v>
      </c>
    </row>
    <row r="58" spans="1:3" ht="22.5" thickBot="1" x14ac:dyDescent="0.55000000000000004">
      <c r="A58" s="53"/>
      <c r="B58" s="364" t="str">
        <f>'[1]4. แบบ ก. 9'!C68</f>
        <v>ประชาสัมพันธ์ผ่านโทรทัศน์ (450,000 บาท x 2 นาที)</v>
      </c>
      <c r="C58" s="365">
        <f>'[1]4. แบบ ก. 9'!P68</f>
        <v>900000</v>
      </c>
    </row>
    <row r="59" spans="1:3" ht="38.25" thickBot="1" x14ac:dyDescent="0.5">
      <c r="A59" s="362">
        <v>6</v>
      </c>
      <c r="B59" s="111" t="s">
        <v>666</v>
      </c>
      <c r="C59" s="384">
        <f>SUM(C60:C64)</f>
        <v>2829000</v>
      </c>
    </row>
    <row r="60" spans="1:3" ht="21.75" x14ac:dyDescent="0.5">
      <c r="A60" s="53"/>
      <c r="B60" s="364" t="str">
        <f>'[1]4. แบบ ก. 9'!C70</f>
        <v>ค่าเครื่องบินไป-กลับ (50,000 บาท x  30 คน)</v>
      </c>
      <c r="C60" s="365">
        <f>'[1]4. แบบ ก. 9'!P70</f>
        <v>1500000</v>
      </c>
    </row>
    <row r="61" spans="1:3" ht="21.75" x14ac:dyDescent="0.5">
      <c r="A61" s="53"/>
      <c r="B61" s="364" t="str">
        <f>'[1]4. แบบ ก. 9'!C71</f>
        <v>ค่าที่พักผู้เข้าร่วมศึกษาดูงาน (10,500 บาท x 3 คืน x 30 คน)</v>
      </c>
      <c r="C61" s="365">
        <f>'[1]4. แบบ ก. 9'!P71</f>
        <v>945000</v>
      </c>
    </row>
    <row r="62" spans="1:3" ht="21.75" x14ac:dyDescent="0.5">
      <c r="A62" s="53"/>
      <c r="B62" s="364" t="str">
        <f>'[1]4. แบบ ก. 9'!C72</f>
        <v>ค่าที่เบี้ยเลี้ยงผู้เข้าร่วมศึกษาดูงาน (2,100 บาท x 3 วัน x 30 คน)</v>
      </c>
      <c r="C62" s="365">
        <f>'[1]4. แบบ ก. 9'!P72</f>
        <v>189000</v>
      </c>
    </row>
    <row r="63" spans="1:3" ht="21.75" x14ac:dyDescent="0.5">
      <c r="A63" s="53"/>
      <c r="B63" s="364" t="str">
        <f>'[1]4. แบบ ก. 9'!C73</f>
        <v>ค่ารถโดยสาร (รถทัวร์) (55,000บาท x 3 วัน)</v>
      </c>
      <c r="C63" s="365">
        <f>'[1]4. แบบ ก. 9'!P73</f>
        <v>165000</v>
      </c>
    </row>
    <row r="64" spans="1:3" ht="22.5" thickBot="1" x14ac:dyDescent="0.55000000000000004">
      <c r="A64" s="53"/>
      <c r="B64" s="364" t="str">
        <f>'[1]4. แบบ ก. 9'!C74</f>
        <v>ค่ามัคคุเทศก์ (10,000บาท x 3 วัน)</v>
      </c>
      <c r="C64" s="365">
        <f>'[1]4. แบบ ก. 9'!P74</f>
        <v>30000</v>
      </c>
    </row>
    <row r="65" spans="1:3" ht="38.25" thickBot="1" x14ac:dyDescent="0.5">
      <c r="A65" s="362">
        <v>7</v>
      </c>
      <c r="B65" s="111" t="s">
        <v>667</v>
      </c>
      <c r="C65" s="384">
        <f>SUM(C66:C79)</f>
        <v>1707050</v>
      </c>
    </row>
    <row r="66" spans="1:3" ht="21.75" x14ac:dyDescent="0.5">
      <c r="A66" s="53"/>
      <c r="B66" s="364" t="str">
        <f>'[1]4. แบบ ก. 9'!C76</f>
        <v>ค่าสถานที่ พร้อมตกแต่งและสิ่งอำนวยความสะดวก</v>
      </c>
      <c r="C66" s="365">
        <f>'[1]4. แบบ ก. 9'!P76</f>
        <v>200000</v>
      </c>
    </row>
    <row r="67" spans="1:3" ht="21.75" x14ac:dyDescent="0.5">
      <c r="A67" s="53"/>
      <c r="B67" s="364" t="str">
        <f>'[1]4. แบบ ก. 9'!C77</f>
        <v>พิธีกร (1 คน /1 ครั้ง)</v>
      </c>
      <c r="C67" s="365">
        <f>'[1]4. แบบ ก. 9'!P77</f>
        <v>50000</v>
      </c>
    </row>
    <row r="68" spans="1:3" ht="21.75" x14ac:dyDescent="0.5">
      <c r="A68" s="53"/>
      <c r="B68" s="364" t="str">
        <f>'[1]4. แบบ ก. 9'!C78</f>
        <v>เบี้ยเลี้ยงเจ้าหน้าที่ ( 600 บาท x 50 คน)</v>
      </c>
      <c r="C68" s="365">
        <f>'[1]4. แบบ ก. 9'!P78</f>
        <v>30000</v>
      </c>
    </row>
    <row r="69" spans="1:3" ht="21.75" x14ac:dyDescent="0.5">
      <c r="A69" s="53"/>
      <c r="B69" s="364" t="str">
        <f>'[1]4. แบบ ก. 9'!C79</f>
        <v>ค่าเช่ารถ รวมน้ำมัน (2500 บาท x 10 คัน x 1 วัน)</v>
      </c>
      <c r="C69" s="365">
        <f>'[1]4. แบบ ก. 9'!P79</f>
        <v>25000</v>
      </c>
    </row>
    <row r="70" spans="1:3" ht="21.75" x14ac:dyDescent="0.5">
      <c r="A70" s="53"/>
      <c r="B70" s="364" t="str">
        <f>'[1]4. แบบ ก. 9'!C80</f>
        <v>โล่รางวัล ( 1000 บาทx  750 อัน)</v>
      </c>
      <c r="C70" s="365">
        <f>'[1]4. แบบ ก. 9'!P80</f>
        <v>750000</v>
      </c>
    </row>
    <row r="71" spans="1:3" ht="21.75" x14ac:dyDescent="0.5">
      <c r="A71" s="53"/>
      <c r="B71" s="364" t="str">
        <f>'[1]4. แบบ ก. 9'!C81</f>
        <v>ประกาศเกียรติบัตร ( 100 บาทx  750 ใบ)</v>
      </c>
      <c r="C71" s="365">
        <f>'[1]4. แบบ ก. 9'!P81</f>
        <v>75000</v>
      </c>
    </row>
    <row r="72" spans="1:3" ht="21.75" x14ac:dyDescent="0.5">
      <c r="A72" s="53"/>
      <c r="B72" s="364" t="str">
        <f>'[1]4. แบบ ก. 9'!C82</f>
        <v>ค่าแผ่นพับประชาสัมพันธ์ ขนาด A4 พิมพ์ 4 สี 2 หน้าพับ 3 ตอน (2.15 บาท x 2500 ชุด)</v>
      </c>
      <c r="C72" s="365">
        <f>'[1]4. แบบ ก. 9'!P82</f>
        <v>5375</v>
      </c>
    </row>
    <row r="73" spans="1:3" ht="21.75" x14ac:dyDescent="0.5">
      <c r="A73" s="53"/>
      <c r="B73" s="364" t="str">
        <f>'[1]4. แบบ ก. 9'!C83</f>
        <v>ค่าเอกสารประกอบการสัมมนาประชาสัมพันธ์ (100 บาท x 500 ชุด)</v>
      </c>
      <c r="C73" s="365">
        <f>'[1]4. แบบ ก. 9'!P83</f>
        <v>50000</v>
      </c>
    </row>
    <row r="74" spans="1:3" ht="21.75" x14ac:dyDescent="0.5">
      <c r="A74" s="53"/>
      <c r="B74" s="364" t="str">
        <f>'[1]4. แบบ ก. 9'!C84</f>
        <v>โปสเตอร์ประชาสัมพันธ์ ขนาด A2 พิมพ์ 4 สี (6.85 บาท x 500 ชุด)</v>
      </c>
      <c r="C74" s="365">
        <f>'[1]4. แบบ ก. 9'!P84</f>
        <v>3425</v>
      </c>
    </row>
    <row r="75" spans="1:3" ht="21.75" x14ac:dyDescent="0.5">
      <c r="A75" s="53"/>
      <c r="B75" s="364" t="str">
        <f>'[1]4. แบบ ก. 9'!C85</f>
        <v>แผ่นป้ายแบนเนอร์ ขนาด 1.2x2.4 เมตร (510 บาท x 75 ชุด)</v>
      </c>
      <c r="C75" s="365">
        <f>'[1]4. แบบ ก. 9'!P85</f>
        <v>38250</v>
      </c>
    </row>
    <row r="76" spans="1:3" ht="21.75" x14ac:dyDescent="0.5">
      <c r="A76" s="53"/>
      <c r="B76" s="364" t="str">
        <f>'[1]4. แบบ ก. 9'!C86</f>
        <v xml:space="preserve">เอกสารและสื่ออิเลคทรอนิกส์ </v>
      </c>
      <c r="C76" s="365">
        <f>'[1]4. แบบ ก. 9'!P86</f>
        <v>5000</v>
      </c>
    </row>
    <row r="77" spans="1:3" ht="21.75" x14ac:dyDescent="0.5">
      <c r="A77" s="53"/>
      <c r="B77" s="364" t="str">
        <f>'[1]4. แบบ ก. 9'!C87</f>
        <v>วิดีทัศน์แนะนำโครงการฯ (ความยาวไม่น้อยกว่า 3 นาที)</v>
      </c>
      <c r="C77" s="365">
        <f>'[1]4. แบบ ก. 9'!P87</f>
        <v>50000</v>
      </c>
    </row>
    <row r="78" spans="1:3" ht="21.75" x14ac:dyDescent="0.5">
      <c r="A78" s="53"/>
      <c r="B78" s="364" t="str">
        <f>'[1]4. แบบ ก. 9'!C88</f>
        <v>ค่าอุปกรณ์แสงและเสียง</v>
      </c>
      <c r="C78" s="365">
        <f>'[1]4. แบบ ก. 9'!P88</f>
        <v>50000</v>
      </c>
    </row>
    <row r="79" spans="1:3" ht="22.5" thickBot="1" x14ac:dyDescent="0.55000000000000004">
      <c r="A79" s="53"/>
      <c r="B79" s="364" t="str">
        <f>'[1]4. แบบ ก. 9'!C89</f>
        <v>ค่าของที่ระลึกสำหรับผู้เข้าร่วมงาน (500 บาท x 750 ชุด)</v>
      </c>
      <c r="C79" s="365">
        <f>'[1]4. แบบ ก. 9'!P89</f>
        <v>375000</v>
      </c>
    </row>
    <row r="80" spans="1:3" ht="21.75" thickBot="1" x14ac:dyDescent="0.5">
      <c r="A80" s="362">
        <v>8</v>
      </c>
      <c r="B80" s="111" t="s">
        <v>668</v>
      </c>
      <c r="C80" s="384">
        <f>SUM(C81:C88)</f>
        <v>522000</v>
      </c>
    </row>
    <row r="81" spans="1:3" ht="21.75" x14ac:dyDescent="0.5">
      <c r="A81" s="53"/>
      <c r="B81" s="364" t="str">
        <f>'[1]4. แบบ ก. 9'!C91</f>
        <v xml:space="preserve">แผนการดำเนินโครงการ 12 ฉบับ พร้อม CD-Rom 1 แผ่น (500 บาท x 12 ฉบับ) </v>
      </c>
      <c r="C81" s="365">
        <f>'[1]4. แบบ ก. 9'!P91</f>
        <v>6000</v>
      </c>
    </row>
    <row r="82" spans="1:3" ht="43.5" x14ac:dyDescent="0.5">
      <c r="A82" s="53"/>
      <c r="B82" s="488" t="str">
        <f>'[1]4. แบบ ก. 9'!C92</f>
        <v>รายงานสรุปประเมินประสิทธิภาพและประเมินประสิทธิผลการดำเนินงานของเครือข่ายของอุตสาหกรรมเชิงนิเวศ 300 ฉบับ พร้อม CD-Rom 1 แผ่น</v>
      </c>
      <c r="C82" s="365">
        <f>'[1]4. แบบ ก. 9'!P92</f>
        <v>240000</v>
      </c>
    </row>
    <row r="83" spans="1:3" ht="43.5" x14ac:dyDescent="0.5">
      <c r="A83" s="53"/>
      <c r="B83" s="488" t="str">
        <f>'[1]4. แบบ ก. 9'!C93</f>
        <v>จัดทำรายงานการติดตามและประเมินผลการดำเนินงานของเครือข่ายอุตสาหกรรมเชิงนิเวศ 300 ฉบับ พร้อม CD-Rom 1 แผ่น (800 บาท*300 ฉบับ)</v>
      </c>
      <c r="C83" s="365">
        <f>'[1]4. แบบ ก. 9'!P93</f>
        <v>240000</v>
      </c>
    </row>
    <row r="84" spans="1:3" ht="21.75" x14ac:dyDescent="0.5">
      <c r="A84" s="53"/>
      <c r="B84" s="364" t="str">
        <f>'[1]4. แบบ ก. 9'!C94</f>
        <v>ร่างรายงานฉบับสมบูรณ์ 12 ฉบับ พร้อม CD-Rom 1 แผ่นพร้อม CD-Rom</v>
      </c>
      <c r="C84" s="365">
        <f>'[1]4. แบบ ก. 9'!P94</f>
        <v>12000</v>
      </c>
    </row>
    <row r="85" spans="1:3" ht="21.75" x14ac:dyDescent="0.5">
      <c r="A85" s="53"/>
      <c r="B85" s="364" t="str">
        <f>'[1]4. แบบ ก. 9'!C95</f>
        <v>รายงานฉบับสมบูรณ์ (Final Report)</v>
      </c>
      <c r="C85" s="365"/>
    </row>
    <row r="86" spans="1:3" ht="21.75" x14ac:dyDescent="0.5">
      <c r="A86" s="53"/>
      <c r="B86" s="364" t="str">
        <f>'[1]4. แบบ ก. 9'!C96</f>
        <v>1) รายงานฉบับสมบูรณ์ ภาษาไทย 12 ฉบับ พร้อม CD-Rom</v>
      </c>
      <c r="C86" s="365">
        <f>'[1]4. แบบ ก. 9'!P96</f>
        <v>12000</v>
      </c>
    </row>
    <row r="87" spans="1:3" ht="21.75" x14ac:dyDescent="0.5">
      <c r="A87" s="53"/>
      <c r="B87" s="364" t="str">
        <f>'[1]4. แบบ ก. 9'!C97</f>
        <v>2) รายงานสรุปสำหรับผู้บริหารภาษาไทย</v>
      </c>
      <c r="C87" s="365">
        <f>'[1]4. แบบ ก. 9'!P97</f>
        <v>6000</v>
      </c>
    </row>
    <row r="88" spans="1:3" ht="22.5" thickBot="1" x14ac:dyDescent="0.55000000000000004">
      <c r="A88" s="53"/>
      <c r="B88" s="489" t="str">
        <f>'[1]4. แบบ ก. 9'!C98</f>
        <v>2) รายงานสรุปสำหรับผู้บริหารภาษาอังกฤษ</v>
      </c>
      <c r="C88" s="365">
        <f>'[1]4. แบบ ก. 9'!P98</f>
        <v>6000</v>
      </c>
    </row>
    <row r="89" spans="1:3" ht="21.75" thickBot="1" x14ac:dyDescent="0.5">
      <c r="A89" s="362"/>
      <c r="B89" s="490" t="s">
        <v>669</v>
      </c>
      <c r="C89" s="384">
        <f>C80+C65+C59+C55+C43+C31+C21+C7</f>
        <v>23655350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D348"/>
  <sheetViews>
    <sheetView view="pageBreakPreview" topLeftCell="A113" zoomScale="130" zoomScaleNormal="100" zoomScaleSheetLayoutView="130" workbookViewId="0">
      <selection activeCell="B12" sqref="B12"/>
    </sheetView>
  </sheetViews>
  <sheetFormatPr defaultRowHeight="18.75" x14ac:dyDescent="0.45"/>
  <cols>
    <col min="1" max="1" width="3.875" style="497" customWidth="1"/>
    <col min="2" max="2" width="62.125" style="497" customWidth="1"/>
    <col min="3" max="3" width="18.5" style="497" customWidth="1"/>
    <col min="4" max="255" width="9" style="497"/>
    <col min="256" max="256" width="12.5" style="497" bestFit="1" customWidth="1"/>
    <col min="257" max="257" width="9" style="497"/>
    <col min="258" max="258" width="31.875" style="497" customWidth="1"/>
    <col min="259" max="259" width="41.25" style="497" customWidth="1"/>
    <col min="260" max="511" width="9" style="497"/>
    <col min="512" max="512" width="12.5" style="497" bestFit="1" customWidth="1"/>
    <col min="513" max="513" width="9" style="497"/>
    <col min="514" max="514" width="31.875" style="497" customWidth="1"/>
    <col min="515" max="515" width="41.25" style="497" customWidth="1"/>
    <col min="516" max="767" width="9" style="497"/>
    <col min="768" max="768" width="12.5" style="497" bestFit="1" customWidth="1"/>
    <col min="769" max="769" width="9" style="497"/>
    <col min="770" max="770" width="31.875" style="497" customWidth="1"/>
    <col min="771" max="771" width="41.25" style="497" customWidth="1"/>
    <col min="772" max="1023" width="9" style="497"/>
    <col min="1024" max="1024" width="12.5" style="497" bestFit="1" customWidth="1"/>
    <col min="1025" max="1025" width="9" style="497"/>
    <col min="1026" max="1026" width="31.875" style="497" customWidth="1"/>
    <col min="1027" max="1027" width="41.25" style="497" customWidth="1"/>
    <col min="1028" max="1279" width="9" style="497"/>
    <col min="1280" max="1280" width="12.5" style="497" bestFit="1" customWidth="1"/>
    <col min="1281" max="1281" width="9" style="497"/>
    <col min="1282" max="1282" width="31.875" style="497" customWidth="1"/>
    <col min="1283" max="1283" width="41.25" style="497" customWidth="1"/>
    <col min="1284" max="1535" width="9" style="497"/>
    <col min="1536" max="1536" width="12.5" style="497" bestFit="1" customWidth="1"/>
    <col min="1537" max="1537" width="9" style="497"/>
    <col min="1538" max="1538" width="31.875" style="497" customWidth="1"/>
    <col min="1539" max="1539" width="41.25" style="497" customWidth="1"/>
    <col min="1540" max="1791" width="9" style="497"/>
    <col min="1792" max="1792" width="12.5" style="497" bestFit="1" customWidth="1"/>
    <col min="1793" max="1793" width="9" style="497"/>
    <col min="1794" max="1794" width="31.875" style="497" customWidth="1"/>
    <col min="1795" max="1795" width="41.25" style="497" customWidth="1"/>
    <col min="1796" max="2047" width="9" style="497"/>
    <col min="2048" max="2048" width="12.5" style="497" bestFit="1" customWidth="1"/>
    <col min="2049" max="2049" width="9" style="497"/>
    <col min="2050" max="2050" width="31.875" style="497" customWidth="1"/>
    <col min="2051" max="2051" width="41.25" style="497" customWidth="1"/>
    <col min="2052" max="2303" width="9" style="497"/>
    <col min="2304" max="2304" width="12.5" style="497" bestFit="1" customWidth="1"/>
    <col min="2305" max="2305" width="9" style="497"/>
    <col min="2306" max="2306" width="31.875" style="497" customWidth="1"/>
    <col min="2307" max="2307" width="41.25" style="497" customWidth="1"/>
    <col min="2308" max="2559" width="9" style="497"/>
    <col min="2560" max="2560" width="12.5" style="497" bestFit="1" customWidth="1"/>
    <col min="2561" max="2561" width="9" style="497"/>
    <col min="2562" max="2562" width="31.875" style="497" customWidth="1"/>
    <col min="2563" max="2563" width="41.25" style="497" customWidth="1"/>
    <col min="2564" max="2815" width="9" style="497"/>
    <col min="2816" max="2816" width="12.5" style="497" bestFit="1" customWidth="1"/>
    <col min="2817" max="2817" width="9" style="497"/>
    <col min="2818" max="2818" width="31.875" style="497" customWidth="1"/>
    <col min="2819" max="2819" width="41.25" style="497" customWidth="1"/>
    <col min="2820" max="3071" width="9" style="497"/>
    <col min="3072" max="3072" width="12.5" style="497" bestFit="1" customWidth="1"/>
    <col min="3073" max="3073" width="9" style="497"/>
    <col min="3074" max="3074" width="31.875" style="497" customWidth="1"/>
    <col min="3075" max="3075" width="41.25" style="497" customWidth="1"/>
    <col min="3076" max="3327" width="9" style="497"/>
    <col min="3328" max="3328" width="12.5" style="497" bestFit="1" customWidth="1"/>
    <col min="3329" max="3329" width="9" style="497"/>
    <col min="3330" max="3330" width="31.875" style="497" customWidth="1"/>
    <col min="3331" max="3331" width="41.25" style="497" customWidth="1"/>
    <col min="3332" max="3583" width="9" style="497"/>
    <col min="3584" max="3584" width="12.5" style="497" bestFit="1" customWidth="1"/>
    <col min="3585" max="3585" width="9" style="497"/>
    <col min="3586" max="3586" width="31.875" style="497" customWidth="1"/>
    <col min="3587" max="3587" width="41.25" style="497" customWidth="1"/>
    <col min="3588" max="3839" width="9" style="497"/>
    <col min="3840" max="3840" width="12.5" style="497" bestFit="1" customWidth="1"/>
    <col min="3841" max="3841" width="9" style="497"/>
    <col min="3842" max="3842" width="31.875" style="497" customWidth="1"/>
    <col min="3843" max="3843" width="41.25" style="497" customWidth="1"/>
    <col min="3844" max="4095" width="9" style="497"/>
    <col min="4096" max="4096" width="12.5" style="497" bestFit="1" customWidth="1"/>
    <col min="4097" max="4097" width="9" style="497"/>
    <col min="4098" max="4098" width="31.875" style="497" customWidth="1"/>
    <col min="4099" max="4099" width="41.25" style="497" customWidth="1"/>
    <col min="4100" max="4351" width="9" style="497"/>
    <col min="4352" max="4352" width="12.5" style="497" bestFit="1" customWidth="1"/>
    <col min="4353" max="4353" width="9" style="497"/>
    <col min="4354" max="4354" width="31.875" style="497" customWidth="1"/>
    <col min="4355" max="4355" width="41.25" style="497" customWidth="1"/>
    <col min="4356" max="4607" width="9" style="497"/>
    <col min="4608" max="4608" width="12.5" style="497" bestFit="1" customWidth="1"/>
    <col min="4609" max="4609" width="9" style="497"/>
    <col min="4610" max="4610" width="31.875" style="497" customWidth="1"/>
    <col min="4611" max="4611" width="41.25" style="497" customWidth="1"/>
    <col min="4612" max="4863" width="9" style="497"/>
    <col min="4864" max="4864" width="12.5" style="497" bestFit="1" customWidth="1"/>
    <col min="4865" max="4865" width="9" style="497"/>
    <col min="4866" max="4866" width="31.875" style="497" customWidth="1"/>
    <col min="4867" max="4867" width="41.25" style="497" customWidth="1"/>
    <col min="4868" max="5119" width="9" style="497"/>
    <col min="5120" max="5120" width="12.5" style="497" bestFit="1" customWidth="1"/>
    <col min="5121" max="5121" width="9" style="497"/>
    <col min="5122" max="5122" width="31.875" style="497" customWidth="1"/>
    <col min="5123" max="5123" width="41.25" style="497" customWidth="1"/>
    <col min="5124" max="5375" width="9" style="497"/>
    <col min="5376" max="5376" width="12.5" style="497" bestFit="1" customWidth="1"/>
    <col min="5377" max="5377" width="9" style="497"/>
    <col min="5378" max="5378" width="31.875" style="497" customWidth="1"/>
    <col min="5379" max="5379" width="41.25" style="497" customWidth="1"/>
    <col min="5380" max="5631" width="9" style="497"/>
    <col min="5632" max="5632" width="12.5" style="497" bestFit="1" customWidth="1"/>
    <col min="5633" max="5633" width="9" style="497"/>
    <col min="5634" max="5634" width="31.875" style="497" customWidth="1"/>
    <col min="5635" max="5635" width="41.25" style="497" customWidth="1"/>
    <col min="5636" max="5887" width="9" style="497"/>
    <col min="5888" max="5888" width="12.5" style="497" bestFit="1" customWidth="1"/>
    <col min="5889" max="5889" width="9" style="497"/>
    <col min="5890" max="5890" width="31.875" style="497" customWidth="1"/>
    <col min="5891" max="5891" width="41.25" style="497" customWidth="1"/>
    <col min="5892" max="6143" width="9" style="497"/>
    <col min="6144" max="6144" width="12.5" style="497" bestFit="1" customWidth="1"/>
    <col min="6145" max="6145" width="9" style="497"/>
    <col min="6146" max="6146" width="31.875" style="497" customWidth="1"/>
    <col min="6147" max="6147" width="41.25" style="497" customWidth="1"/>
    <col min="6148" max="6399" width="9" style="497"/>
    <col min="6400" max="6400" width="12.5" style="497" bestFit="1" customWidth="1"/>
    <col min="6401" max="6401" width="9" style="497"/>
    <col min="6402" max="6402" width="31.875" style="497" customWidth="1"/>
    <col min="6403" max="6403" width="41.25" style="497" customWidth="1"/>
    <col min="6404" max="6655" width="9" style="497"/>
    <col min="6656" max="6656" width="12.5" style="497" bestFit="1" customWidth="1"/>
    <col min="6657" max="6657" width="9" style="497"/>
    <col min="6658" max="6658" width="31.875" style="497" customWidth="1"/>
    <col min="6659" max="6659" width="41.25" style="497" customWidth="1"/>
    <col min="6660" max="6911" width="9" style="497"/>
    <col min="6912" max="6912" width="12.5" style="497" bestFit="1" customWidth="1"/>
    <col min="6913" max="6913" width="9" style="497"/>
    <col min="6914" max="6914" width="31.875" style="497" customWidth="1"/>
    <col min="6915" max="6915" width="41.25" style="497" customWidth="1"/>
    <col min="6916" max="7167" width="9" style="497"/>
    <col min="7168" max="7168" width="12.5" style="497" bestFit="1" customWidth="1"/>
    <col min="7169" max="7169" width="9" style="497"/>
    <col min="7170" max="7170" width="31.875" style="497" customWidth="1"/>
    <col min="7171" max="7171" width="41.25" style="497" customWidth="1"/>
    <col min="7172" max="7423" width="9" style="497"/>
    <col min="7424" max="7424" width="12.5" style="497" bestFit="1" customWidth="1"/>
    <col min="7425" max="7425" width="9" style="497"/>
    <col min="7426" max="7426" width="31.875" style="497" customWidth="1"/>
    <col min="7427" max="7427" width="41.25" style="497" customWidth="1"/>
    <col min="7428" max="7679" width="9" style="497"/>
    <col min="7680" max="7680" width="12.5" style="497" bestFit="1" customWidth="1"/>
    <col min="7681" max="7681" width="9" style="497"/>
    <col min="7682" max="7682" width="31.875" style="497" customWidth="1"/>
    <col min="7683" max="7683" width="41.25" style="497" customWidth="1"/>
    <col min="7684" max="7935" width="9" style="497"/>
    <col min="7936" max="7936" width="12.5" style="497" bestFit="1" customWidth="1"/>
    <col min="7937" max="7937" width="9" style="497"/>
    <col min="7938" max="7938" width="31.875" style="497" customWidth="1"/>
    <col min="7939" max="7939" width="41.25" style="497" customWidth="1"/>
    <col min="7940" max="8191" width="9" style="497"/>
    <col min="8192" max="8192" width="12.5" style="497" bestFit="1" customWidth="1"/>
    <col min="8193" max="8193" width="9" style="497"/>
    <col min="8194" max="8194" width="31.875" style="497" customWidth="1"/>
    <col min="8195" max="8195" width="41.25" style="497" customWidth="1"/>
    <col min="8196" max="8447" width="9" style="497"/>
    <col min="8448" max="8448" width="12.5" style="497" bestFit="1" customWidth="1"/>
    <col min="8449" max="8449" width="9" style="497"/>
    <col min="8450" max="8450" width="31.875" style="497" customWidth="1"/>
    <col min="8451" max="8451" width="41.25" style="497" customWidth="1"/>
    <col min="8452" max="8703" width="9" style="497"/>
    <col min="8704" max="8704" width="12.5" style="497" bestFit="1" customWidth="1"/>
    <col min="8705" max="8705" width="9" style="497"/>
    <col min="8706" max="8706" width="31.875" style="497" customWidth="1"/>
    <col min="8707" max="8707" width="41.25" style="497" customWidth="1"/>
    <col min="8708" max="8959" width="9" style="497"/>
    <col min="8960" max="8960" width="12.5" style="497" bestFit="1" customWidth="1"/>
    <col min="8961" max="8961" width="9" style="497"/>
    <col min="8962" max="8962" width="31.875" style="497" customWidth="1"/>
    <col min="8963" max="8963" width="41.25" style="497" customWidth="1"/>
    <col min="8964" max="9215" width="9" style="497"/>
    <col min="9216" max="9216" width="12.5" style="497" bestFit="1" customWidth="1"/>
    <col min="9217" max="9217" width="9" style="497"/>
    <col min="9218" max="9218" width="31.875" style="497" customWidth="1"/>
    <col min="9219" max="9219" width="41.25" style="497" customWidth="1"/>
    <col min="9220" max="9471" width="9" style="497"/>
    <col min="9472" max="9472" width="12.5" style="497" bestFit="1" customWidth="1"/>
    <col min="9473" max="9473" width="9" style="497"/>
    <col min="9474" max="9474" width="31.875" style="497" customWidth="1"/>
    <col min="9475" max="9475" width="41.25" style="497" customWidth="1"/>
    <col min="9476" max="9727" width="9" style="497"/>
    <col min="9728" max="9728" width="12.5" style="497" bestFit="1" customWidth="1"/>
    <col min="9729" max="9729" width="9" style="497"/>
    <col min="9730" max="9730" width="31.875" style="497" customWidth="1"/>
    <col min="9731" max="9731" width="41.25" style="497" customWidth="1"/>
    <col min="9732" max="9983" width="9" style="497"/>
    <col min="9984" max="9984" width="12.5" style="497" bestFit="1" customWidth="1"/>
    <col min="9985" max="9985" width="9" style="497"/>
    <col min="9986" max="9986" width="31.875" style="497" customWidth="1"/>
    <col min="9987" max="9987" width="41.25" style="497" customWidth="1"/>
    <col min="9988" max="10239" width="9" style="497"/>
    <col min="10240" max="10240" width="12.5" style="497" bestFit="1" customWidth="1"/>
    <col min="10241" max="10241" width="9" style="497"/>
    <col min="10242" max="10242" width="31.875" style="497" customWidth="1"/>
    <col min="10243" max="10243" width="41.25" style="497" customWidth="1"/>
    <col min="10244" max="10495" width="9" style="497"/>
    <col min="10496" max="10496" width="12.5" style="497" bestFit="1" customWidth="1"/>
    <col min="10497" max="10497" width="9" style="497"/>
    <col min="10498" max="10498" width="31.875" style="497" customWidth="1"/>
    <col min="10499" max="10499" width="41.25" style="497" customWidth="1"/>
    <col min="10500" max="10751" width="9" style="497"/>
    <col min="10752" max="10752" width="12.5" style="497" bestFit="1" customWidth="1"/>
    <col min="10753" max="10753" width="9" style="497"/>
    <col min="10754" max="10754" width="31.875" style="497" customWidth="1"/>
    <col min="10755" max="10755" width="41.25" style="497" customWidth="1"/>
    <col min="10756" max="11007" width="9" style="497"/>
    <col min="11008" max="11008" width="12.5" style="497" bestFit="1" customWidth="1"/>
    <col min="11009" max="11009" width="9" style="497"/>
    <col min="11010" max="11010" width="31.875" style="497" customWidth="1"/>
    <col min="11011" max="11011" width="41.25" style="497" customWidth="1"/>
    <col min="11012" max="11263" width="9" style="497"/>
    <col min="11264" max="11264" width="12.5" style="497" bestFit="1" customWidth="1"/>
    <col min="11265" max="11265" width="9" style="497"/>
    <col min="11266" max="11266" width="31.875" style="497" customWidth="1"/>
    <col min="11267" max="11267" width="41.25" style="497" customWidth="1"/>
    <col min="11268" max="11519" width="9" style="497"/>
    <col min="11520" max="11520" width="12.5" style="497" bestFit="1" customWidth="1"/>
    <col min="11521" max="11521" width="9" style="497"/>
    <col min="11522" max="11522" width="31.875" style="497" customWidth="1"/>
    <col min="11523" max="11523" width="41.25" style="497" customWidth="1"/>
    <col min="11524" max="11775" width="9" style="497"/>
    <col min="11776" max="11776" width="12.5" style="497" bestFit="1" customWidth="1"/>
    <col min="11777" max="11777" width="9" style="497"/>
    <col min="11778" max="11778" width="31.875" style="497" customWidth="1"/>
    <col min="11779" max="11779" width="41.25" style="497" customWidth="1"/>
    <col min="11780" max="12031" width="9" style="497"/>
    <col min="12032" max="12032" width="12.5" style="497" bestFit="1" customWidth="1"/>
    <col min="12033" max="12033" width="9" style="497"/>
    <col min="12034" max="12034" width="31.875" style="497" customWidth="1"/>
    <col min="12035" max="12035" width="41.25" style="497" customWidth="1"/>
    <col min="12036" max="12287" width="9" style="497"/>
    <col min="12288" max="12288" width="12.5" style="497" bestFit="1" customWidth="1"/>
    <col min="12289" max="12289" width="9" style="497"/>
    <col min="12290" max="12290" width="31.875" style="497" customWidth="1"/>
    <col min="12291" max="12291" width="41.25" style="497" customWidth="1"/>
    <col min="12292" max="12543" width="9" style="497"/>
    <col min="12544" max="12544" width="12.5" style="497" bestFit="1" customWidth="1"/>
    <col min="12545" max="12545" width="9" style="497"/>
    <col min="12546" max="12546" width="31.875" style="497" customWidth="1"/>
    <col min="12547" max="12547" width="41.25" style="497" customWidth="1"/>
    <col min="12548" max="12799" width="9" style="497"/>
    <col min="12800" max="12800" width="12.5" style="497" bestFit="1" customWidth="1"/>
    <col min="12801" max="12801" width="9" style="497"/>
    <col min="12802" max="12802" width="31.875" style="497" customWidth="1"/>
    <col min="12803" max="12803" width="41.25" style="497" customWidth="1"/>
    <col min="12804" max="13055" width="9" style="497"/>
    <col min="13056" max="13056" width="12.5" style="497" bestFit="1" customWidth="1"/>
    <col min="13057" max="13057" width="9" style="497"/>
    <col min="13058" max="13058" width="31.875" style="497" customWidth="1"/>
    <col min="13059" max="13059" width="41.25" style="497" customWidth="1"/>
    <col min="13060" max="13311" width="9" style="497"/>
    <col min="13312" max="13312" width="12.5" style="497" bestFit="1" customWidth="1"/>
    <col min="13313" max="13313" width="9" style="497"/>
    <col min="13314" max="13314" width="31.875" style="497" customWidth="1"/>
    <col min="13315" max="13315" width="41.25" style="497" customWidth="1"/>
    <col min="13316" max="13567" width="9" style="497"/>
    <col min="13568" max="13568" width="12.5" style="497" bestFit="1" customWidth="1"/>
    <col min="13569" max="13569" width="9" style="497"/>
    <col min="13570" max="13570" width="31.875" style="497" customWidth="1"/>
    <col min="13571" max="13571" width="41.25" style="497" customWidth="1"/>
    <col min="13572" max="13823" width="9" style="497"/>
    <col min="13824" max="13824" width="12.5" style="497" bestFit="1" customWidth="1"/>
    <col min="13825" max="13825" width="9" style="497"/>
    <col min="13826" max="13826" width="31.875" style="497" customWidth="1"/>
    <col min="13827" max="13827" width="41.25" style="497" customWidth="1"/>
    <col min="13828" max="14079" width="9" style="497"/>
    <col min="14080" max="14080" width="12.5" style="497" bestFit="1" customWidth="1"/>
    <col min="14081" max="14081" width="9" style="497"/>
    <col min="14082" max="14082" width="31.875" style="497" customWidth="1"/>
    <col min="14083" max="14083" width="41.25" style="497" customWidth="1"/>
    <col min="14084" max="14335" width="9" style="497"/>
    <col min="14336" max="14336" width="12.5" style="497" bestFit="1" customWidth="1"/>
    <col min="14337" max="14337" width="9" style="497"/>
    <col min="14338" max="14338" width="31.875" style="497" customWidth="1"/>
    <col min="14339" max="14339" width="41.25" style="497" customWidth="1"/>
    <col min="14340" max="14591" width="9" style="497"/>
    <col min="14592" max="14592" width="12.5" style="497" bestFit="1" customWidth="1"/>
    <col min="14593" max="14593" width="9" style="497"/>
    <col min="14594" max="14594" width="31.875" style="497" customWidth="1"/>
    <col min="14595" max="14595" width="41.25" style="497" customWidth="1"/>
    <col min="14596" max="14847" width="9" style="497"/>
    <col min="14848" max="14848" width="12.5" style="497" bestFit="1" customWidth="1"/>
    <col min="14849" max="14849" width="9" style="497"/>
    <col min="14850" max="14850" width="31.875" style="497" customWidth="1"/>
    <col min="14851" max="14851" width="41.25" style="497" customWidth="1"/>
    <col min="14852" max="15103" width="9" style="497"/>
    <col min="15104" max="15104" width="12.5" style="497" bestFit="1" customWidth="1"/>
    <col min="15105" max="15105" width="9" style="497"/>
    <col min="15106" max="15106" width="31.875" style="497" customWidth="1"/>
    <col min="15107" max="15107" width="41.25" style="497" customWidth="1"/>
    <col min="15108" max="15359" width="9" style="497"/>
    <col min="15360" max="15360" width="12.5" style="497" bestFit="1" customWidth="1"/>
    <col min="15361" max="15361" width="9" style="497"/>
    <col min="15362" max="15362" width="31.875" style="497" customWidth="1"/>
    <col min="15363" max="15363" width="41.25" style="497" customWidth="1"/>
    <col min="15364" max="15615" width="9" style="497"/>
    <col min="15616" max="15616" width="12.5" style="497" bestFit="1" customWidth="1"/>
    <col min="15617" max="15617" width="9" style="497"/>
    <col min="15618" max="15618" width="31.875" style="497" customWidth="1"/>
    <col min="15619" max="15619" width="41.25" style="497" customWidth="1"/>
    <col min="15620" max="15871" width="9" style="497"/>
    <col min="15872" max="15872" width="12.5" style="497" bestFit="1" customWidth="1"/>
    <col min="15873" max="15873" width="9" style="497"/>
    <col min="15874" max="15874" width="31.875" style="497" customWidth="1"/>
    <col min="15875" max="15875" width="41.25" style="497" customWidth="1"/>
    <col min="15876" max="16127" width="9" style="497"/>
    <col min="16128" max="16128" width="12.5" style="497" bestFit="1" customWidth="1"/>
    <col min="16129" max="16129" width="9" style="497"/>
    <col min="16130" max="16130" width="31.875" style="497" customWidth="1"/>
    <col min="16131" max="16131" width="41.25" style="497" customWidth="1"/>
    <col min="16132" max="16384" width="9" style="497"/>
  </cols>
  <sheetData>
    <row r="2" spans="1:3" s="491" customFormat="1" ht="17.25" customHeight="1" x14ac:dyDescent="0.35">
      <c r="A2" s="884" t="s">
        <v>16</v>
      </c>
      <c r="B2" s="884"/>
      <c r="C2" s="884"/>
    </row>
    <row r="3" spans="1:3" s="491" customFormat="1" ht="17.25" customHeight="1" x14ac:dyDescent="0.35">
      <c r="A3" s="492"/>
      <c r="B3" s="492" t="s">
        <v>680</v>
      </c>
      <c r="C3" s="493"/>
    </row>
    <row r="4" spans="1:3" s="491" customFormat="1" ht="24" customHeight="1" x14ac:dyDescent="0.25">
      <c r="A4" s="885" t="s">
        <v>681</v>
      </c>
      <c r="B4" s="885"/>
      <c r="C4" s="885"/>
    </row>
    <row r="5" spans="1:3" s="491" customFormat="1" ht="17.25" customHeight="1" thickBot="1" x14ac:dyDescent="0.3">
      <c r="A5" s="494"/>
      <c r="B5" s="494"/>
      <c r="C5" s="495"/>
    </row>
    <row r="6" spans="1:3" s="491" customFormat="1" ht="17.25" customHeight="1" x14ac:dyDescent="0.3">
      <c r="A6" s="496"/>
      <c r="B6" s="496" t="s">
        <v>17</v>
      </c>
      <c r="C6" s="50" t="s">
        <v>18</v>
      </c>
    </row>
    <row r="7" spans="1:3" ht="48.75" customHeight="1" thickBot="1" x14ac:dyDescent="0.5">
      <c r="A7" s="498"/>
      <c r="B7" s="499" t="s">
        <v>422</v>
      </c>
      <c r="C7" s="500" t="s">
        <v>19</v>
      </c>
    </row>
    <row r="8" spans="1:3" s="501" customFormat="1" ht="16.5" customHeight="1" thickBot="1" x14ac:dyDescent="0.5">
      <c r="A8" s="502">
        <v>1</v>
      </c>
      <c r="B8" s="503" t="s">
        <v>72</v>
      </c>
      <c r="C8" s="504">
        <f>SUM(C9:C22)</f>
        <v>24778800</v>
      </c>
    </row>
    <row r="9" spans="1:3" s="501" customFormat="1" ht="15.75" customHeight="1" x14ac:dyDescent="0.45">
      <c r="A9" s="505"/>
      <c r="B9" s="506" t="s">
        <v>682</v>
      </c>
      <c r="C9" s="507">
        <v>5040000</v>
      </c>
    </row>
    <row r="10" spans="1:3" ht="15" customHeight="1" x14ac:dyDescent="0.5">
      <c r="A10" s="508"/>
      <c r="B10" s="506" t="s">
        <v>683</v>
      </c>
      <c r="C10" s="507">
        <v>3780000</v>
      </c>
    </row>
    <row r="11" spans="1:3" ht="17.25" customHeight="1" x14ac:dyDescent="0.5">
      <c r="A11" s="508"/>
      <c r="B11" s="506" t="s">
        <v>684</v>
      </c>
      <c r="C11" s="507">
        <v>3250000</v>
      </c>
    </row>
    <row r="12" spans="1:3" ht="17.25" customHeight="1" x14ac:dyDescent="0.5">
      <c r="A12" s="508"/>
      <c r="B12" s="506" t="s">
        <v>685</v>
      </c>
      <c r="C12" s="507">
        <v>520000</v>
      </c>
    </row>
    <row r="13" spans="1:3" ht="17.25" customHeight="1" x14ac:dyDescent="0.5">
      <c r="A13" s="508"/>
      <c r="B13" s="506" t="s">
        <v>686</v>
      </c>
      <c r="C13" s="509">
        <v>520000</v>
      </c>
    </row>
    <row r="14" spans="1:3" ht="17.25" customHeight="1" x14ac:dyDescent="0.5">
      <c r="A14" s="508"/>
      <c r="B14" s="506" t="s">
        <v>687</v>
      </c>
      <c r="C14" s="507">
        <v>520000</v>
      </c>
    </row>
    <row r="15" spans="1:3" ht="17.25" customHeight="1" x14ac:dyDescent="0.5">
      <c r="A15" s="508"/>
      <c r="B15" s="510" t="s">
        <v>688</v>
      </c>
      <c r="C15" s="507">
        <v>1040000</v>
      </c>
    </row>
    <row r="16" spans="1:3" ht="17.25" customHeight="1" x14ac:dyDescent="0.5">
      <c r="A16" s="508"/>
      <c r="B16" s="511" t="s">
        <v>689</v>
      </c>
      <c r="C16" s="507">
        <v>180000</v>
      </c>
    </row>
    <row r="17" spans="1:3" ht="17.25" customHeight="1" x14ac:dyDescent="0.5">
      <c r="A17" s="508"/>
      <c r="B17" s="511" t="s">
        <v>690</v>
      </c>
      <c r="C17" s="507">
        <v>260000</v>
      </c>
    </row>
    <row r="18" spans="1:3" ht="17.25" customHeight="1" x14ac:dyDescent="0.5">
      <c r="A18" s="508"/>
      <c r="B18" s="506" t="s">
        <v>691</v>
      </c>
      <c r="C18" s="507">
        <v>3840000</v>
      </c>
    </row>
    <row r="19" spans="1:3" ht="17.25" customHeight="1" x14ac:dyDescent="0.5">
      <c r="A19" s="508"/>
      <c r="B19" s="506" t="s">
        <v>692</v>
      </c>
      <c r="C19" s="507">
        <v>3388800</v>
      </c>
    </row>
    <row r="20" spans="1:3" s="501" customFormat="1" ht="17.25" customHeight="1" x14ac:dyDescent="0.5">
      <c r="A20" s="508"/>
      <c r="B20" s="506" t="s">
        <v>693</v>
      </c>
      <c r="C20" s="507">
        <v>960000</v>
      </c>
    </row>
    <row r="21" spans="1:3" s="501" customFormat="1" ht="15.75" customHeight="1" x14ac:dyDescent="0.5">
      <c r="A21" s="508"/>
      <c r="B21" s="506" t="s">
        <v>694</v>
      </c>
      <c r="C21" s="507">
        <v>400000</v>
      </c>
    </row>
    <row r="22" spans="1:3" s="501" customFormat="1" ht="18" customHeight="1" thickBot="1" x14ac:dyDescent="0.55000000000000004">
      <c r="A22" s="508"/>
      <c r="B22" s="510" t="s">
        <v>695</v>
      </c>
      <c r="C22" s="507">
        <v>1080000</v>
      </c>
    </row>
    <row r="23" spans="1:3" ht="17.25" customHeight="1" thickBot="1" x14ac:dyDescent="0.5">
      <c r="A23" s="502">
        <v>2</v>
      </c>
      <c r="B23" s="503" t="s">
        <v>81</v>
      </c>
      <c r="C23" s="512">
        <f>SUM(C24+C36+C83++C128+C163+C199+C221)</f>
        <v>32074850</v>
      </c>
    </row>
    <row r="24" spans="1:3" ht="17.25" customHeight="1" thickBot="1" x14ac:dyDescent="0.5">
      <c r="A24" s="502">
        <v>2.1</v>
      </c>
      <c r="B24" s="513" t="s">
        <v>696</v>
      </c>
      <c r="C24" s="512">
        <f>SUM(C25:C34)</f>
        <v>1480000</v>
      </c>
    </row>
    <row r="25" spans="1:3" ht="17.25" customHeight="1" x14ac:dyDescent="0.45">
      <c r="A25" s="498"/>
      <c r="B25" s="514" t="s">
        <v>697</v>
      </c>
      <c r="C25" s="507">
        <v>7000</v>
      </c>
    </row>
    <row r="26" spans="1:3" ht="17.25" customHeight="1" x14ac:dyDescent="0.45">
      <c r="A26" s="498"/>
      <c r="B26" s="515" t="s">
        <v>698</v>
      </c>
      <c r="C26" s="507">
        <v>108000</v>
      </c>
    </row>
    <row r="27" spans="1:3" ht="17.25" customHeight="1" x14ac:dyDescent="0.45">
      <c r="A27" s="498"/>
      <c r="B27" s="516" t="s">
        <v>699</v>
      </c>
      <c r="C27" s="517">
        <v>540000</v>
      </c>
    </row>
    <row r="28" spans="1:3" s="501" customFormat="1" ht="17.25" customHeight="1" x14ac:dyDescent="0.45">
      <c r="A28" s="498"/>
      <c r="B28" s="518" t="s">
        <v>700</v>
      </c>
      <c r="C28" s="507">
        <v>375000</v>
      </c>
    </row>
    <row r="29" spans="1:3" s="501" customFormat="1" ht="17.25" customHeight="1" x14ac:dyDescent="0.45">
      <c r="A29" s="498"/>
      <c r="B29" s="519" t="s">
        <v>701</v>
      </c>
      <c r="C29" s="507">
        <v>287000</v>
      </c>
    </row>
    <row r="30" spans="1:3" s="501" customFormat="1" ht="17.25" customHeight="1" x14ac:dyDescent="0.45">
      <c r="A30" s="498"/>
      <c r="B30" s="520" t="s">
        <v>702</v>
      </c>
      <c r="C30" s="507">
        <v>20000</v>
      </c>
    </row>
    <row r="31" spans="1:3" s="501" customFormat="1" ht="17.25" customHeight="1" x14ac:dyDescent="0.45">
      <c r="A31" s="521"/>
      <c r="B31" s="522" t="s">
        <v>703</v>
      </c>
      <c r="C31" s="507">
        <v>3000</v>
      </c>
    </row>
    <row r="32" spans="1:3" s="501" customFormat="1" ht="18.75" customHeight="1" x14ac:dyDescent="0.45">
      <c r="A32" s="521"/>
      <c r="B32" s="522" t="s">
        <v>704</v>
      </c>
      <c r="C32" s="507">
        <v>10000</v>
      </c>
    </row>
    <row r="33" spans="1:3" s="501" customFormat="1" ht="17.25" customHeight="1" x14ac:dyDescent="0.45">
      <c r="A33" s="521"/>
      <c r="B33" s="522" t="s">
        <v>705</v>
      </c>
      <c r="C33" s="507">
        <v>30000</v>
      </c>
    </row>
    <row r="34" spans="1:3" s="501" customFormat="1" ht="17.25" customHeight="1" x14ac:dyDescent="0.5">
      <c r="A34" s="508"/>
      <c r="B34" s="523" t="s">
        <v>706</v>
      </c>
      <c r="C34" s="507">
        <v>100000</v>
      </c>
    </row>
    <row r="35" spans="1:3" s="501" customFormat="1" ht="17.25" customHeight="1" thickBot="1" x14ac:dyDescent="0.55000000000000004">
      <c r="A35" s="508"/>
      <c r="B35" s="524" t="s">
        <v>707</v>
      </c>
      <c r="C35" s="525">
        <v>100000</v>
      </c>
    </row>
    <row r="36" spans="1:3" s="501" customFormat="1" ht="17.25" customHeight="1" thickBot="1" x14ac:dyDescent="0.5">
      <c r="A36" s="502">
        <v>2.2000000000000002</v>
      </c>
      <c r="B36" s="526" t="s">
        <v>708</v>
      </c>
      <c r="C36" s="527">
        <f>SUM(C37+C41+C45+C53+C59+C66+C74+C79)</f>
        <v>2027510</v>
      </c>
    </row>
    <row r="37" spans="1:3" s="501" customFormat="1" ht="17.25" customHeight="1" x14ac:dyDescent="0.45">
      <c r="A37" s="498"/>
      <c r="B37" s="528" t="s">
        <v>709</v>
      </c>
      <c r="C37" s="529">
        <f>SUM(C38:C40)</f>
        <v>60000</v>
      </c>
    </row>
    <row r="38" spans="1:3" s="501" customFormat="1" ht="17.25" customHeight="1" x14ac:dyDescent="0.45">
      <c r="A38" s="498"/>
      <c r="B38" s="519" t="s">
        <v>710</v>
      </c>
      <c r="C38" s="530">
        <v>30000</v>
      </c>
    </row>
    <row r="39" spans="1:3" s="501" customFormat="1" ht="17.25" customHeight="1" x14ac:dyDescent="0.45">
      <c r="A39" s="498"/>
      <c r="B39" s="522" t="s">
        <v>711</v>
      </c>
      <c r="C39" s="530">
        <v>25000</v>
      </c>
    </row>
    <row r="40" spans="1:3" s="501" customFormat="1" ht="17.25" customHeight="1" x14ac:dyDescent="0.45">
      <c r="A40" s="498"/>
      <c r="B40" s="520" t="s">
        <v>712</v>
      </c>
      <c r="C40" s="530">
        <v>5000</v>
      </c>
    </row>
    <row r="41" spans="1:3" s="501" customFormat="1" ht="17.25" customHeight="1" x14ac:dyDescent="0.45">
      <c r="A41" s="498"/>
      <c r="B41" s="531" t="s">
        <v>713</v>
      </c>
      <c r="C41" s="530">
        <f>SUM(C42:C44)</f>
        <v>136400</v>
      </c>
    </row>
    <row r="42" spans="1:3" s="501" customFormat="1" ht="17.25" customHeight="1" x14ac:dyDescent="0.45">
      <c r="A42" s="498"/>
      <c r="B42" s="522" t="s">
        <v>714</v>
      </c>
      <c r="C42" s="530">
        <v>14400</v>
      </c>
    </row>
    <row r="43" spans="1:3" s="501" customFormat="1" ht="17.25" customHeight="1" x14ac:dyDescent="0.45">
      <c r="A43" s="498"/>
      <c r="B43" s="532" t="s">
        <v>715</v>
      </c>
      <c r="C43" s="530">
        <v>72000</v>
      </c>
    </row>
    <row r="44" spans="1:3" s="501" customFormat="1" ht="17.25" customHeight="1" x14ac:dyDescent="0.45">
      <c r="A44" s="498"/>
      <c r="B44" s="533" t="s">
        <v>716</v>
      </c>
      <c r="C44" s="530">
        <v>50000</v>
      </c>
    </row>
    <row r="45" spans="1:3" s="501" customFormat="1" ht="17.25" customHeight="1" x14ac:dyDescent="0.45">
      <c r="A45" s="498"/>
      <c r="B45" s="531" t="s">
        <v>717</v>
      </c>
      <c r="C45" s="530">
        <f>SUM(C46:C52)</f>
        <v>833800</v>
      </c>
    </row>
    <row r="46" spans="1:3" s="501" customFormat="1" ht="17.25" customHeight="1" x14ac:dyDescent="0.45">
      <c r="A46" s="498"/>
      <c r="B46" s="519" t="s">
        <v>718</v>
      </c>
      <c r="C46" s="530">
        <v>600000</v>
      </c>
    </row>
    <row r="47" spans="1:3" s="501" customFormat="1" ht="17.25" customHeight="1" x14ac:dyDescent="0.45">
      <c r="A47" s="498"/>
      <c r="B47" s="522" t="s">
        <v>719</v>
      </c>
      <c r="C47" s="530">
        <v>48000</v>
      </c>
    </row>
    <row r="48" spans="1:3" s="501" customFormat="1" ht="17.25" customHeight="1" x14ac:dyDescent="0.45">
      <c r="A48" s="498"/>
      <c r="B48" s="522" t="s">
        <v>720</v>
      </c>
      <c r="C48" s="530">
        <v>48000</v>
      </c>
    </row>
    <row r="49" spans="1:3" s="501" customFormat="1" ht="17.25" customHeight="1" x14ac:dyDescent="0.45">
      <c r="A49" s="498"/>
      <c r="B49" s="533" t="s">
        <v>721</v>
      </c>
      <c r="C49" s="530">
        <v>1400</v>
      </c>
    </row>
    <row r="50" spans="1:3" s="501" customFormat="1" ht="17.25" customHeight="1" x14ac:dyDescent="0.45">
      <c r="A50" s="498"/>
      <c r="B50" s="522" t="s">
        <v>722</v>
      </c>
      <c r="C50" s="530">
        <v>14400</v>
      </c>
    </row>
    <row r="51" spans="1:3" s="501" customFormat="1" ht="17.25" customHeight="1" x14ac:dyDescent="0.45">
      <c r="A51" s="498"/>
      <c r="B51" s="532" t="s">
        <v>723</v>
      </c>
      <c r="C51" s="530">
        <v>72000</v>
      </c>
    </row>
    <row r="52" spans="1:3" s="501" customFormat="1" ht="17.25" customHeight="1" x14ac:dyDescent="0.45">
      <c r="A52" s="498"/>
      <c r="B52" s="533" t="s">
        <v>724</v>
      </c>
      <c r="C52" s="530">
        <v>50000</v>
      </c>
    </row>
    <row r="53" spans="1:3" s="501" customFormat="1" ht="17.25" customHeight="1" x14ac:dyDescent="0.45">
      <c r="A53" s="498"/>
      <c r="B53" s="531" t="s">
        <v>725</v>
      </c>
      <c r="C53" s="530">
        <f>SUM(C54:C58)</f>
        <v>232400</v>
      </c>
    </row>
    <row r="54" spans="1:3" s="501" customFormat="1" ht="17.25" customHeight="1" x14ac:dyDescent="0.45">
      <c r="A54" s="498"/>
      <c r="B54" s="522" t="s">
        <v>726</v>
      </c>
      <c r="C54" s="530">
        <v>48000</v>
      </c>
    </row>
    <row r="55" spans="1:3" s="501" customFormat="1" ht="17.25" customHeight="1" x14ac:dyDescent="0.45">
      <c r="A55" s="498"/>
      <c r="B55" s="522" t="s">
        <v>727</v>
      </c>
      <c r="C55" s="530">
        <v>48000</v>
      </c>
    </row>
    <row r="56" spans="1:3" s="501" customFormat="1" ht="17.25" customHeight="1" x14ac:dyDescent="0.45">
      <c r="A56" s="498"/>
      <c r="B56" s="522" t="s">
        <v>728</v>
      </c>
      <c r="C56" s="530">
        <v>14400</v>
      </c>
    </row>
    <row r="57" spans="1:3" s="501" customFormat="1" ht="17.25" customHeight="1" x14ac:dyDescent="0.45">
      <c r="A57" s="498"/>
      <c r="B57" s="532" t="s">
        <v>729</v>
      </c>
      <c r="C57" s="530">
        <v>72000</v>
      </c>
    </row>
    <row r="58" spans="1:3" s="501" customFormat="1" ht="17.25" customHeight="1" x14ac:dyDescent="0.45">
      <c r="A58" s="498"/>
      <c r="B58" s="533" t="s">
        <v>730</v>
      </c>
      <c r="C58" s="530">
        <v>50000</v>
      </c>
    </row>
    <row r="59" spans="1:3" s="501" customFormat="1" ht="17.25" customHeight="1" x14ac:dyDescent="0.45">
      <c r="A59" s="498"/>
      <c r="B59" s="531" t="s">
        <v>731</v>
      </c>
      <c r="C59" s="530">
        <f>SUM(C60:C65)</f>
        <v>84860</v>
      </c>
    </row>
    <row r="60" spans="1:3" s="501" customFormat="1" ht="17.25" customHeight="1" x14ac:dyDescent="0.45">
      <c r="A60" s="498"/>
      <c r="B60" s="534" t="s">
        <v>732</v>
      </c>
      <c r="C60" s="530">
        <v>7000</v>
      </c>
    </row>
    <row r="61" spans="1:3" s="501" customFormat="1" ht="17.25" customHeight="1" x14ac:dyDescent="0.45">
      <c r="A61" s="498"/>
      <c r="B61" s="520" t="s">
        <v>733</v>
      </c>
      <c r="C61" s="530">
        <v>60000</v>
      </c>
    </row>
    <row r="62" spans="1:3" s="501" customFormat="1" ht="17.25" customHeight="1" x14ac:dyDescent="0.45">
      <c r="A62" s="498"/>
      <c r="B62" s="516" t="s">
        <v>734</v>
      </c>
      <c r="C62" s="530">
        <v>8400</v>
      </c>
    </row>
    <row r="63" spans="1:3" s="501" customFormat="1" ht="17.25" customHeight="1" x14ac:dyDescent="0.45">
      <c r="A63" s="498"/>
      <c r="B63" s="522" t="s">
        <v>735</v>
      </c>
      <c r="C63" s="530">
        <v>960</v>
      </c>
    </row>
    <row r="64" spans="1:3" s="501" customFormat="1" ht="17.25" customHeight="1" x14ac:dyDescent="0.45">
      <c r="A64" s="498"/>
      <c r="B64" s="532" t="s">
        <v>736</v>
      </c>
      <c r="C64" s="530">
        <v>6000</v>
      </c>
    </row>
    <row r="65" spans="1:3" s="501" customFormat="1" ht="17.25" customHeight="1" x14ac:dyDescent="0.45">
      <c r="A65" s="498"/>
      <c r="B65" s="533" t="s">
        <v>737</v>
      </c>
      <c r="C65" s="530">
        <v>2500</v>
      </c>
    </row>
    <row r="66" spans="1:3" s="501" customFormat="1" ht="17.25" customHeight="1" x14ac:dyDescent="0.45">
      <c r="A66" s="498"/>
      <c r="B66" s="531" t="s">
        <v>738</v>
      </c>
      <c r="C66" s="530">
        <f>SUM(C67:C73)</f>
        <v>334860</v>
      </c>
    </row>
    <row r="67" spans="1:3" s="501" customFormat="1" ht="17.25" customHeight="1" x14ac:dyDescent="0.45">
      <c r="A67" s="498"/>
      <c r="B67" s="522" t="s">
        <v>739</v>
      </c>
      <c r="C67" s="530">
        <v>250000</v>
      </c>
    </row>
    <row r="68" spans="1:3" s="501" customFormat="1" ht="17.25" customHeight="1" x14ac:dyDescent="0.45">
      <c r="A68" s="498"/>
      <c r="B68" s="534" t="s">
        <v>740</v>
      </c>
      <c r="C68" s="530">
        <v>7000</v>
      </c>
    </row>
    <row r="69" spans="1:3" s="501" customFormat="1" ht="17.25" customHeight="1" x14ac:dyDescent="0.45">
      <c r="A69" s="498"/>
      <c r="B69" s="520" t="s">
        <v>741</v>
      </c>
      <c r="C69" s="530">
        <v>60000</v>
      </c>
    </row>
    <row r="70" spans="1:3" s="501" customFormat="1" ht="17.25" customHeight="1" x14ac:dyDescent="0.45">
      <c r="A70" s="498"/>
      <c r="B70" s="516" t="s">
        <v>742</v>
      </c>
      <c r="C70" s="530">
        <v>8400</v>
      </c>
    </row>
    <row r="71" spans="1:3" s="501" customFormat="1" ht="17.25" customHeight="1" x14ac:dyDescent="0.45">
      <c r="A71" s="498"/>
      <c r="B71" s="522" t="s">
        <v>743</v>
      </c>
      <c r="C71" s="530">
        <v>960</v>
      </c>
    </row>
    <row r="72" spans="1:3" s="501" customFormat="1" ht="17.25" customHeight="1" x14ac:dyDescent="0.45">
      <c r="A72" s="498"/>
      <c r="B72" s="532" t="s">
        <v>744</v>
      </c>
      <c r="C72" s="530">
        <v>6000</v>
      </c>
    </row>
    <row r="73" spans="1:3" s="501" customFormat="1" ht="17.25" customHeight="1" x14ac:dyDescent="0.45">
      <c r="A73" s="498"/>
      <c r="B73" s="533" t="s">
        <v>745</v>
      </c>
      <c r="C73" s="530">
        <v>2500</v>
      </c>
    </row>
    <row r="74" spans="1:3" s="501" customFormat="1" ht="17.25" customHeight="1" x14ac:dyDescent="0.45">
      <c r="A74" s="498"/>
      <c r="B74" s="531" t="s">
        <v>746</v>
      </c>
      <c r="C74" s="530">
        <f>SUM(C75:C78)</f>
        <v>57000</v>
      </c>
    </row>
    <row r="75" spans="1:3" s="501" customFormat="1" ht="17.25" customHeight="1" x14ac:dyDescent="0.45">
      <c r="A75" s="498"/>
      <c r="B75" s="535" t="s">
        <v>747</v>
      </c>
      <c r="C75" s="530">
        <v>10000</v>
      </c>
    </row>
    <row r="76" spans="1:3" s="501" customFormat="1" ht="17.25" customHeight="1" x14ac:dyDescent="0.45">
      <c r="A76" s="498"/>
      <c r="B76" s="522" t="s">
        <v>748</v>
      </c>
      <c r="C76" s="530">
        <v>5000</v>
      </c>
    </row>
    <row r="77" spans="1:3" s="501" customFormat="1" ht="17.25" customHeight="1" x14ac:dyDescent="0.45">
      <c r="A77" s="498"/>
      <c r="B77" s="522" t="s">
        <v>749</v>
      </c>
      <c r="C77" s="530">
        <v>12000</v>
      </c>
    </row>
    <row r="78" spans="1:3" s="501" customFormat="1" ht="17.25" customHeight="1" x14ac:dyDescent="0.45">
      <c r="A78" s="498"/>
      <c r="B78" s="522" t="s">
        <v>750</v>
      </c>
      <c r="C78" s="530">
        <v>30000</v>
      </c>
    </row>
    <row r="79" spans="1:3" s="501" customFormat="1" ht="17.25" customHeight="1" x14ac:dyDescent="0.45">
      <c r="A79" s="498"/>
      <c r="B79" s="536" t="s">
        <v>751</v>
      </c>
      <c r="C79" s="530">
        <f>SUM(C80:C82)</f>
        <v>288190</v>
      </c>
    </row>
    <row r="80" spans="1:3" s="501" customFormat="1" ht="17.25" customHeight="1" x14ac:dyDescent="0.45">
      <c r="A80" s="498"/>
      <c r="B80" s="519" t="s">
        <v>707</v>
      </c>
      <c r="C80" s="530">
        <v>120000</v>
      </c>
    </row>
    <row r="81" spans="1:3" s="501" customFormat="1" ht="17.25" customHeight="1" x14ac:dyDescent="0.45">
      <c r="A81" s="498"/>
      <c r="B81" s="519" t="s">
        <v>752</v>
      </c>
      <c r="C81" s="530">
        <v>100000</v>
      </c>
    </row>
    <row r="82" spans="1:3" s="501" customFormat="1" ht="17.25" customHeight="1" thickBot="1" x14ac:dyDescent="0.5">
      <c r="A82" s="498"/>
      <c r="B82" s="524" t="s">
        <v>753</v>
      </c>
      <c r="C82" s="530">
        <v>68190</v>
      </c>
    </row>
    <row r="83" spans="1:3" s="501" customFormat="1" ht="17.25" customHeight="1" thickBot="1" x14ac:dyDescent="0.5">
      <c r="A83" s="502">
        <v>2.2999999999999998</v>
      </c>
      <c r="B83" s="537" t="s">
        <v>754</v>
      </c>
      <c r="C83" s="504">
        <f>SUM(C84+C91+C98+C104+C109+C112+C119+C124)</f>
        <v>4475790</v>
      </c>
    </row>
    <row r="84" spans="1:3" s="501" customFormat="1" ht="17.25" customHeight="1" x14ac:dyDescent="0.45">
      <c r="A84" s="498"/>
      <c r="B84" s="538" t="s">
        <v>755</v>
      </c>
      <c r="C84" s="539">
        <f>SUM(C85:C90)</f>
        <v>84860</v>
      </c>
    </row>
    <row r="85" spans="1:3" s="501" customFormat="1" ht="17.25" customHeight="1" x14ac:dyDescent="0.45">
      <c r="A85" s="498"/>
      <c r="B85" s="534" t="s">
        <v>756</v>
      </c>
      <c r="C85" s="530">
        <v>7000</v>
      </c>
    </row>
    <row r="86" spans="1:3" s="501" customFormat="1" ht="17.25" customHeight="1" x14ac:dyDescent="0.45">
      <c r="A86" s="498"/>
      <c r="B86" s="520" t="s">
        <v>757</v>
      </c>
      <c r="C86" s="530">
        <v>60000</v>
      </c>
    </row>
    <row r="87" spans="1:3" s="501" customFormat="1" ht="17.25" customHeight="1" x14ac:dyDescent="0.45">
      <c r="A87" s="498"/>
      <c r="B87" s="516" t="s">
        <v>758</v>
      </c>
      <c r="C87" s="530">
        <v>8400</v>
      </c>
    </row>
    <row r="88" spans="1:3" s="501" customFormat="1" ht="17.25" customHeight="1" x14ac:dyDescent="0.45">
      <c r="A88" s="498"/>
      <c r="B88" s="522" t="s">
        <v>759</v>
      </c>
      <c r="C88" s="530">
        <v>960</v>
      </c>
    </row>
    <row r="89" spans="1:3" s="501" customFormat="1" ht="17.25" customHeight="1" x14ac:dyDescent="0.45">
      <c r="A89" s="498"/>
      <c r="B89" s="532" t="s">
        <v>736</v>
      </c>
      <c r="C89" s="530">
        <v>6000</v>
      </c>
    </row>
    <row r="90" spans="1:3" s="501" customFormat="1" ht="17.25" customHeight="1" x14ac:dyDescent="0.45">
      <c r="A90" s="498"/>
      <c r="B90" s="533" t="s">
        <v>737</v>
      </c>
      <c r="C90" s="530">
        <v>2500</v>
      </c>
    </row>
    <row r="91" spans="1:3" s="501" customFormat="1" ht="17.25" customHeight="1" x14ac:dyDescent="0.45">
      <c r="A91" s="498"/>
      <c r="B91" s="531" t="s">
        <v>760</v>
      </c>
      <c r="C91" s="530">
        <f>SUM(C92:C97)</f>
        <v>192180</v>
      </c>
    </row>
    <row r="92" spans="1:3" s="501" customFormat="1" ht="17.25" customHeight="1" x14ac:dyDescent="0.45">
      <c r="A92" s="498"/>
      <c r="B92" s="534" t="s">
        <v>761</v>
      </c>
      <c r="C92" s="530">
        <v>12600</v>
      </c>
    </row>
    <row r="93" spans="1:3" s="501" customFormat="1" ht="17.25" customHeight="1" x14ac:dyDescent="0.45">
      <c r="A93" s="498"/>
      <c r="B93" s="520" t="s">
        <v>762</v>
      </c>
      <c r="C93" s="530">
        <v>108000</v>
      </c>
    </row>
    <row r="94" spans="1:3" s="501" customFormat="1" ht="17.25" customHeight="1" x14ac:dyDescent="0.45">
      <c r="A94" s="498"/>
      <c r="B94" s="516" t="s">
        <v>763</v>
      </c>
      <c r="C94" s="530">
        <v>25200</v>
      </c>
    </row>
    <row r="95" spans="1:3" s="501" customFormat="1" ht="17.25" customHeight="1" x14ac:dyDescent="0.45">
      <c r="A95" s="498"/>
      <c r="B95" s="522" t="s">
        <v>764</v>
      </c>
      <c r="C95" s="530">
        <v>2880</v>
      </c>
    </row>
    <row r="96" spans="1:3" ht="17.25" customHeight="1" x14ac:dyDescent="0.45">
      <c r="A96" s="498"/>
      <c r="B96" s="532" t="s">
        <v>765</v>
      </c>
      <c r="C96" s="530">
        <v>36000</v>
      </c>
    </row>
    <row r="97" spans="1:3" s="501" customFormat="1" ht="18" customHeight="1" x14ac:dyDescent="0.45">
      <c r="A97" s="498"/>
      <c r="B97" s="533" t="s">
        <v>766</v>
      </c>
      <c r="C97" s="530">
        <v>7500</v>
      </c>
    </row>
    <row r="98" spans="1:3" s="501" customFormat="1" ht="18" customHeight="1" x14ac:dyDescent="0.45">
      <c r="A98" s="498"/>
      <c r="B98" s="540" t="s">
        <v>767</v>
      </c>
      <c r="C98" s="530">
        <f>SUM(C99:C103)</f>
        <v>1954500</v>
      </c>
    </row>
    <row r="99" spans="1:3" s="501" customFormat="1" ht="18" customHeight="1" x14ac:dyDescent="0.45">
      <c r="A99" s="498"/>
      <c r="B99" s="534" t="s">
        <v>768</v>
      </c>
      <c r="C99" s="530">
        <v>31500</v>
      </c>
    </row>
    <row r="100" spans="1:3" s="501" customFormat="1" ht="18" customHeight="1" x14ac:dyDescent="0.45">
      <c r="A100" s="498"/>
      <c r="B100" s="522" t="s">
        <v>769</v>
      </c>
      <c r="C100" s="530">
        <v>576000</v>
      </c>
    </row>
    <row r="101" spans="1:3" s="501" customFormat="1" ht="18" customHeight="1" x14ac:dyDescent="0.45">
      <c r="A101" s="498"/>
      <c r="B101" s="522" t="s">
        <v>770</v>
      </c>
      <c r="C101" s="530">
        <v>72000</v>
      </c>
    </row>
    <row r="102" spans="1:3" s="501" customFormat="1" ht="18" customHeight="1" x14ac:dyDescent="0.45">
      <c r="A102" s="498"/>
      <c r="B102" s="532" t="s">
        <v>771</v>
      </c>
      <c r="C102" s="530">
        <v>900000</v>
      </c>
    </row>
    <row r="103" spans="1:3" s="501" customFormat="1" ht="18" customHeight="1" x14ac:dyDescent="0.45">
      <c r="A103" s="498"/>
      <c r="B103" s="533" t="s">
        <v>772</v>
      </c>
      <c r="C103" s="530">
        <v>375000</v>
      </c>
    </row>
    <row r="104" spans="1:3" s="501" customFormat="1" ht="18" customHeight="1" x14ac:dyDescent="0.45">
      <c r="A104" s="498"/>
      <c r="B104" s="531" t="s">
        <v>773</v>
      </c>
      <c r="C104" s="530">
        <f>SUM(C105:C108)</f>
        <v>1477200</v>
      </c>
    </row>
    <row r="105" spans="1:3" s="501" customFormat="1" ht="18" customHeight="1" x14ac:dyDescent="0.45">
      <c r="A105" s="498"/>
      <c r="B105" s="534" t="s">
        <v>774</v>
      </c>
      <c r="C105" s="530">
        <v>33600</v>
      </c>
    </row>
    <row r="106" spans="1:3" s="501" customFormat="1" ht="18" customHeight="1" x14ac:dyDescent="0.45">
      <c r="A106" s="498"/>
      <c r="B106" s="522" t="s">
        <v>775</v>
      </c>
      <c r="C106" s="530">
        <v>129600</v>
      </c>
    </row>
    <row r="107" spans="1:3" s="501" customFormat="1" ht="18" customHeight="1" x14ac:dyDescent="0.45">
      <c r="A107" s="498"/>
      <c r="B107" s="532" t="s">
        <v>776</v>
      </c>
      <c r="C107" s="530">
        <v>864000</v>
      </c>
    </row>
    <row r="108" spans="1:3" s="501" customFormat="1" ht="18" customHeight="1" x14ac:dyDescent="0.45">
      <c r="A108" s="498"/>
      <c r="B108" s="533" t="s">
        <v>777</v>
      </c>
      <c r="C108" s="530">
        <v>450000</v>
      </c>
    </row>
    <row r="109" spans="1:3" s="501" customFormat="1" ht="18" customHeight="1" x14ac:dyDescent="0.45">
      <c r="A109" s="498"/>
      <c r="B109" s="540" t="s">
        <v>778</v>
      </c>
      <c r="C109" s="530">
        <f>SUM(C110:C111)</f>
        <v>310000</v>
      </c>
    </row>
    <row r="110" spans="1:3" s="501" customFormat="1" ht="18" customHeight="1" x14ac:dyDescent="0.45">
      <c r="A110" s="498"/>
      <c r="B110" s="522" t="s">
        <v>779</v>
      </c>
      <c r="C110" s="530">
        <v>250000</v>
      </c>
    </row>
    <row r="111" spans="1:3" s="501" customFormat="1" ht="18" customHeight="1" x14ac:dyDescent="0.45">
      <c r="A111" s="498"/>
      <c r="B111" s="522" t="s">
        <v>780</v>
      </c>
      <c r="C111" s="530">
        <v>60000</v>
      </c>
    </row>
    <row r="112" spans="1:3" s="501" customFormat="1" ht="18" customHeight="1" x14ac:dyDescent="0.45">
      <c r="A112" s="498"/>
      <c r="B112" s="531" t="s">
        <v>781</v>
      </c>
      <c r="C112" s="530">
        <f>SUM(C113:C118)</f>
        <v>84860</v>
      </c>
    </row>
    <row r="113" spans="1:3" s="501" customFormat="1" ht="18" customHeight="1" x14ac:dyDescent="0.45">
      <c r="A113" s="498"/>
      <c r="B113" s="534" t="s">
        <v>782</v>
      </c>
      <c r="C113" s="530">
        <v>7000</v>
      </c>
    </row>
    <row r="114" spans="1:3" s="501" customFormat="1" ht="18" customHeight="1" x14ac:dyDescent="0.45">
      <c r="A114" s="498"/>
      <c r="B114" s="520" t="s">
        <v>757</v>
      </c>
      <c r="C114" s="530">
        <v>60000</v>
      </c>
    </row>
    <row r="115" spans="1:3" s="501" customFormat="1" ht="18" customHeight="1" x14ac:dyDescent="0.45">
      <c r="A115" s="498"/>
      <c r="B115" s="516" t="s">
        <v>758</v>
      </c>
      <c r="C115" s="530">
        <v>8400</v>
      </c>
    </row>
    <row r="116" spans="1:3" s="501" customFormat="1" ht="18" customHeight="1" x14ac:dyDescent="0.45">
      <c r="A116" s="498"/>
      <c r="B116" s="522" t="s">
        <v>759</v>
      </c>
      <c r="C116" s="530">
        <v>960</v>
      </c>
    </row>
    <row r="117" spans="1:3" s="501" customFormat="1" ht="17.25" customHeight="1" x14ac:dyDescent="0.45">
      <c r="A117" s="498"/>
      <c r="B117" s="532" t="s">
        <v>736</v>
      </c>
      <c r="C117" s="530">
        <v>6000</v>
      </c>
    </row>
    <row r="118" spans="1:3" s="501" customFormat="1" ht="17.25" customHeight="1" x14ac:dyDescent="0.45">
      <c r="A118" s="498"/>
      <c r="B118" s="533" t="s">
        <v>737</v>
      </c>
      <c r="C118" s="530">
        <v>2500</v>
      </c>
    </row>
    <row r="119" spans="1:3" s="501" customFormat="1" ht="17.25" customHeight="1" x14ac:dyDescent="0.45">
      <c r="A119" s="498"/>
      <c r="B119" s="531" t="s">
        <v>783</v>
      </c>
      <c r="C119" s="530">
        <f>SUM(C120:C123)</f>
        <v>84000</v>
      </c>
    </row>
    <row r="120" spans="1:3" s="501" customFormat="1" ht="17.25" customHeight="1" x14ac:dyDescent="0.45">
      <c r="A120" s="498"/>
      <c r="B120" s="520" t="s">
        <v>784</v>
      </c>
      <c r="C120" s="530">
        <v>20000</v>
      </c>
    </row>
    <row r="121" spans="1:3" s="501" customFormat="1" ht="17.25" customHeight="1" x14ac:dyDescent="0.45">
      <c r="A121" s="498"/>
      <c r="B121" s="522" t="s">
        <v>785</v>
      </c>
      <c r="C121" s="530">
        <v>10000</v>
      </c>
    </row>
    <row r="122" spans="1:3" s="501" customFormat="1" ht="17.25" customHeight="1" x14ac:dyDescent="0.45">
      <c r="A122" s="498"/>
      <c r="B122" s="522" t="s">
        <v>786</v>
      </c>
      <c r="C122" s="530">
        <v>24000</v>
      </c>
    </row>
    <row r="123" spans="1:3" s="501" customFormat="1" ht="19.5" customHeight="1" x14ac:dyDescent="0.45">
      <c r="A123" s="498"/>
      <c r="B123" s="522" t="s">
        <v>787</v>
      </c>
      <c r="C123" s="530">
        <v>30000</v>
      </c>
    </row>
    <row r="124" spans="1:3" s="501" customFormat="1" ht="16.5" customHeight="1" x14ac:dyDescent="0.45">
      <c r="A124" s="498"/>
      <c r="B124" s="536" t="s">
        <v>788</v>
      </c>
      <c r="C124" s="530">
        <f>SUM(C125:C127)</f>
        <v>288190</v>
      </c>
    </row>
    <row r="125" spans="1:3" s="501" customFormat="1" ht="17.25" customHeight="1" x14ac:dyDescent="0.45">
      <c r="A125" s="498"/>
      <c r="B125" s="519" t="s">
        <v>789</v>
      </c>
      <c r="C125" s="530">
        <v>120000</v>
      </c>
    </row>
    <row r="126" spans="1:3" s="501" customFormat="1" ht="18" customHeight="1" x14ac:dyDescent="0.45">
      <c r="A126" s="498"/>
      <c r="B126" s="519" t="s">
        <v>790</v>
      </c>
      <c r="C126" s="530">
        <v>100000</v>
      </c>
    </row>
    <row r="127" spans="1:3" s="501" customFormat="1" ht="18" customHeight="1" thickBot="1" x14ac:dyDescent="0.5">
      <c r="A127" s="498"/>
      <c r="B127" s="524" t="s">
        <v>791</v>
      </c>
      <c r="C127" s="530">
        <v>68190</v>
      </c>
    </row>
    <row r="128" spans="1:3" s="501" customFormat="1" ht="18" customHeight="1" thickBot="1" x14ac:dyDescent="0.5">
      <c r="A128" s="502">
        <v>2.4</v>
      </c>
      <c r="B128" s="537" t="s">
        <v>792</v>
      </c>
      <c r="C128" s="504">
        <f>SUM(C129+C134+C139+C143+C146+C149+C154+C159)</f>
        <v>2464290</v>
      </c>
    </row>
    <row r="129" spans="1:3" s="501" customFormat="1" ht="17.25" customHeight="1" x14ac:dyDescent="0.45">
      <c r="A129" s="498"/>
      <c r="B129" s="538" t="s">
        <v>793</v>
      </c>
      <c r="C129" s="539">
        <f>SUM(C130:C133)</f>
        <v>77900</v>
      </c>
    </row>
    <row r="130" spans="1:3" s="501" customFormat="1" ht="17.25" customHeight="1" x14ac:dyDescent="0.45">
      <c r="A130" s="498"/>
      <c r="B130" s="534" t="s">
        <v>756</v>
      </c>
      <c r="C130" s="530">
        <v>7000</v>
      </c>
    </row>
    <row r="131" spans="1:3" s="501" customFormat="1" ht="17.25" customHeight="1" x14ac:dyDescent="0.45">
      <c r="A131" s="498"/>
      <c r="B131" s="520" t="s">
        <v>757</v>
      </c>
      <c r="C131" s="530">
        <v>60000</v>
      </c>
    </row>
    <row r="132" spans="1:3" s="501" customFormat="1" ht="17.25" customHeight="1" x14ac:dyDescent="0.45">
      <c r="A132" s="498"/>
      <c r="B132" s="516" t="s">
        <v>758</v>
      </c>
      <c r="C132" s="530">
        <v>8400</v>
      </c>
    </row>
    <row r="133" spans="1:3" s="501" customFormat="1" ht="17.25" customHeight="1" x14ac:dyDescent="0.45">
      <c r="A133" s="498"/>
      <c r="B133" s="533" t="s">
        <v>794</v>
      </c>
      <c r="C133" s="530">
        <v>2500</v>
      </c>
    </row>
    <row r="134" spans="1:3" s="501" customFormat="1" ht="17.25" customHeight="1" x14ac:dyDescent="0.45">
      <c r="A134" s="498"/>
      <c r="B134" s="531" t="s">
        <v>795</v>
      </c>
      <c r="C134" s="530">
        <f>SUM(C135:C138)</f>
        <v>153300</v>
      </c>
    </row>
    <row r="135" spans="1:3" s="501" customFormat="1" ht="17.25" customHeight="1" x14ac:dyDescent="0.45">
      <c r="A135" s="498"/>
      <c r="B135" s="534" t="s">
        <v>761</v>
      </c>
      <c r="C135" s="530">
        <v>12600</v>
      </c>
    </row>
    <row r="136" spans="1:3" s="501" customFormat="1" ht="17.25" customHeight="1" x14ac:dyDescent="0.45">
      <c r="A136" s="498"/>
      <c r="B136" s="520" t="s">
        <v>762</v>
      </c>
      <c r="C136" s="530">
        <v>108000</v>
      </c>
    </row>
    <row r="137" spans="1:3" s="501" customFormat="1" ht="17.25" customHeight="1" x14ac:dyDescent="0.45">
      <c r="A137" s="498"/>
      <c r="B137" s="516" t="s">
        <v>763</v>
      </c>
      <c r="C137" s="530">
        <v>25200</v>
      </c>
    </row>
    <row r="138" spans="1:3" s="501" customFormat="1" ht="17.25" customHeight="1" x14ac:dyDescent="0.45">
      <c r="A138" s="498"/>
      <c r="B138" s="533" t="s">
        <v>796</v>
      </c>
      <c r="C138" s="530">
        <v>7500</v>
      </c>
    </row>
    <row r="139" spans="1:3" ht="17.25" customHeight="1" x14ac:dyDescent="0.45">
      <c r="A139" s="498"/>
      <c r="B139" s="540" t="s">
        <v>797</v>
      </c>
      <c r="C139" s="530">
        <f>SUM(C140:C142)</f>
        <v>1216500</v>
      </c>
    </row>
    <row r="140" spans="1:3" s="501" customFormat="1" ht="18" customHeight="1" x14ac:dyDescent="0.45">
      <c r="A140" s="498"/>
      <c r="B140" s="534" t="s">
        <v>768</v>
      </c>
      <c r="C140" s="530">
        <v>31500</v>
      </c>
    </row>
    <row r="141" spans="1:3" s="501" customFormat="1" ht="18" customHeight="1" x14ac:dyDescent="0.45">
      <c r="A141" s="498"/>
      <c r="B141" s="522" t="s">
        <v>798</v>
      </c>
      <c r="C141" s="530">
        <v>960000</v>
      </c>
    </row>
    <row r="142" spans="1:3" s="501" customFormat="1" ht="18" customHeight="1" x14ac:dyDescent="0.45">
      <c r="A142" s="498"/>
      <c r="B142" s="533" t="s">
        <v>799</v>
      </c>
      <c r="C142" s="530">
        <v>225000</v>
      </c>
    </row>
    <row r="143" spans="1:3" s="501" customFormat="1" ht="18" customHeight="1" x14ac:dyDescent="0.45">
      <c r="A143" s="498"/>
      <c r="B143" s="531" t="s">
        <v>800</v>
      </c>
      <c r="C143" s="530">
        <f>SUM(C144:C145)</f>
        <v>256500</v>
      </c>
    </row>
    <row r="144" spans="1:3" s="501" customFormat="1" ht="18" customHeight="1" x14ac:dyDescent="0.45">
      <c r="A144" s="498"/>
      <c r="B144" s="534" t="s">
        <v>768</v>
      </c>
      <c r="C144" s="530">
        <v>31500</v>
      </c>
    </row>
    <row r="145" spans="1:3" s="501" customFormat="1" ht="18" customHeight="1" x14ac:dyDescent="0.45">
      <c r="A145" s="498"/>
      <c r="B145" s="533" t="s">
        <v>801</v>
      </c>
      <c r="C145" s="530">
        <v>225000</v>
      </c>
    </row>
    <row r="146" spans="1:3" s="501" customFormat="1" ht="18" customHeight="1" x14ac:dyDescent="0.45">
      <c r="A146" s="498"/>
      <c r="B146" s="540" t="s">
        <v>802</v>
      </c>
      <c r="C146" s="530">
        <f>SUM(C147:C148)</f>
        <v>310000</v>
      </c>
    </row>
    <row r="147" spans="1:3" s="501" customFormat="1" ht="18" customHeight="1" x14ac:dyDescent="0.45">
      <c r="A147" s="498"/>
      <c r="B147" s="522" t="s">
        <v>779</v>
      </c>
      <c r="C147" s="530">
        <v>250000</v>
      </c>
    </row>
    <row r="148" spans="1:3" s="501" customFormat="1" ht="18" customHeight="1" x14ac:dyDescent="0.45">
      <c r="A148" s="498"/>
      <c r="B148" s="522" t="s">
        <v>780</v>
      </c>
      <c r="C148" s="530">
        <v>60000</v>
      </c>
    </row>
    <row r="149" spans="1:3" s="501" customFormat="1" ht="18" customHeight="1" x14ac:dyDescent="0.45">
      <c r="A149" s="498"/>
      <c r="B149" s="531" t="s">
        <v>803</v>
      </c>
      <c r="C149" s="530">
        <f>SUM(C150:C153)</f>
        <v>77900</v>
      </c>
    </row>
    <row r="150" spans="1:3" s="501" customFormat="1" ht="18" customHeight="1" x14ac:dyDescent="0.45">
      <c r="A150" s="498"/>
      <c r="B150" s="534" t="s">
        <v>782</v>
      </c>
      <c r="C150" s="530">
        <v>7000</v>
      </c>
    </row>
    <row r="151" spans="1:3" s="501" customFormat="1" ht="18" customHeight="1" x14ac:dyDescent="0.45">
      <c r="A151" s="498"/>
      <c r="B151" s="520" t="s">
        <v>757</v>
      </c>
      <c r="C151" s="530">
        <v>60000</v>
      </c>
    </row>
    <row r="152" spans="1:3" s="501" customFormat="1" ht="18" customHeight="1" x14ac:dyDescent="0.45">
      <c r="A152" s="498"/>
      <c r="B152" s="516" t="s">
        <v>758</v>
      </c>
      <c r="C152" s="530">
        <v>8400</v>
      </c>
    </row>
    <row r="153" spans="1:3" s="501" customFormat="1" ht="18" customHeight="1" x14ac:dyDescent="0.45">
      <c r="A153" s="498"/>
      <c r="B153" s="533" t="s">
        <v>794</v>
      </c>
      <c r="C153" s="530">
        <v>2500</v>
      </c>
    </row>
    <row r="154" spans="1:3" s="501" customFormat="1" ht="17.25" customHeight="1" x14ac:dyDescent="0.45">
      <c r="A154" s="498"/>
      <c r="B154" s="531" t="s">
        <v>804</v>
      </c>
      <c r="C154" s="530">
        <f>SUM(C155:C158)</f>
        <v>84000</v>
      </c>
    </row>
    <row r="155" spans="1:3" s="501" customFormat="1" ht="17.25" customHeight="1" x14ac:dyDescent="0.45">
      <c r="A155" s="498"/>
      <c r="B155" s="520" t="s">
        <v>784</v>
      </c>
      <c r="C155" s="530">
        <v>20000</v>
      </c>
    </row>
    <row r="156" spans="1:3" s="501" customFormat="1" ht="17.25" customHeight="1" x14ac:dyDescent="0.45">
      <c r="A156" s="498"/>
      <c r="B156" s="522" t="s">
        <v>785</v>
      </c>
      <c r="C156" s="530">
        <v>10000</v>
      </c>
    </row>
    <row r="157" spans="1:3" s="501" customFormat="1" ht="17.25" customHeight="1" x14ac:dyDescent="0.45">
      <c r="A157" s="498"/>
      <c r="B157" s="522" t="s">
        <v>786</v>
      </c>
      <c r="C157" s="530">
        <v>24000</v>
      </c>
    </row>
    <row r="158" spans="1:3" s="501" customFormat="1" ht="19.5" customHeight="1" x14ac:dyDescent="0.45">
      <c r="A158" s="498"/>
      <c r="B158" s="522" t="s">
        <v>787</v>
      </c>
      <c r="C158" s="530">
        <v>30000</v>
      </c>
    </row>
    <row r="159" spans="1:3" s="501" customFormat="1" ht="16.5" customHeight="1" x14ac:dyDescent="0.45">
      <c r="A159" s="498"/>
      <c r="B159" s="536" t="s">
        <v>805</v>
      </c>
      <c r="C159" s="530">
        <f>SUM(C160:C162)</f>
        <v>288190</v>
      </c>
    </row>
    <row r="160" spans="1:3" s="501" customFormat="1" ht="17.25" customHeight="1" x14ac:dyDescent="0.45">
      <c r="A160" s="498"/>
      <c r="B160" s="519" t="s">
        <v>789</v>
      </c>
      <c r="C160" s="530">
        <v>120000</v>
      </c>
    </row>
    <row r="161" spans="1:3" s="501" customFormat="1" ht="18" customHeight="1" x14ac:dyDescent="0.45">
      <c r="A161" s="498"/>
      <c r="B161" s="519" t="s">
        <v>790</v>
      </c>
      <c r="C161" s="530">
        <v>100000</v>
      </c>
    </row>
    <row r="162" spans="1:3" s="501" customFormat="1" ht="18" customHeight="1" thickBot="1" x14ac:dyDescent="0.5">
      <c r="A162" s="498"/>
      <c r="B162" s="524" t="s">
        <v>791</v>
      </c>
      <c r="C162" s="530">
        <v>68190</v>
      </c>
    </row>
    <row r="163" spans="1:3" s="501" customFormat="1" ht="18" customHeight="1" thickBot="1" x14ac:dyDescent="0.5">
      <c r="A163" s="502">
        <v>2.5</v>
      </c>
      <c r="B163" s="513" t="s">
        <v>806</v>
      </c>
      <c r="C163" s="504">
        <f>SUM(C164+C171+C178+C180+C188+C190+C195)</f>
        <v>5154550</v>
      </c>
    </row>
    <row r="164" spans="1:3" s="501" customFormat="1" ht="17.25" customHeight="1" x14ac:dyDescent="0.45">
      <c r="A164" s="498"/>
      <c r="B164" s="541" t="s">
        <v>807</v>
      </c>
      <c r="C164" s="539">
        <f>SUM(C165:C170)</f>
        <v>2135200</v>
      </c>
    </row>
    <row r="165" spans="1:3" s="501" customFormat="1" ht="17.25" customHeight="1" x14ac:dyDescent="0.45">
      <c r="A165" s="498"/>
      <c r="B165" s="520" t="s">
        <v>808</v>
      </c>
      <c r="C165" s="530">
        <v>500000</v>
      </c>
    </row>
    <row r="166" spans="1:3" s="501" customFormat="1" ht="17.25" customHeight="1" x14ac:dyDescent="0.45">
      <c r="A166" s="498"/>
      <c r="B166" s="516" t="s">
        <v>809</v>
      </c>
      <c r="C166" s="530">
        <v>300000</v>
      </c>
    </row>
    <row r="167" spans="1:3" s="501" customFormat="1" ht="17.25" customHeight="1" x14ac:dyDescent="0.45">
      <c r="A167" s="498"/>
      <c r="B167" s="522" t="s">
        <v>810</v>
      </c>
      <c r="C167" s="530">
        <v>100000</v>
      </c>
    </row>
    <row r="168" spans="1:3" s="501" customFormat="1" ht="17.25" customHeight="1" x14ac:dyDescent="0.45">
      <c r="A168" s="498"/>
      <c r="B168" s="522" t="s">
        <v>811</v>
      </c>
      <c r="C168" s="530">
        <v>480000</v>
      </c>
    </row>
    <row r="169" spans="1:3" s="501" customFormat="1" ht="17.25" customHeight="1" x14ac:dyDescent="0.45">
      <c r="A169" s="498"/>
      <c r="B169" s="522" t="s">
        <v>812</v>
      </c>
      <c r="C169" s="530">
        <v>725200</v>
      </c>
    </row>
    <row r="170" spans="1:3" s="501" customFormat="1" ht="17.25" customHeight="1" x14ac:dyDescent="0.45">
      <c r="A170" s="498"/>
      <c r="B170" s="522" t="s">
        <v>813</v>
      </c>
      <c r="C170" s="530">
        <v>30000</v>
      </c>
    </row>
    <row r="171" spans="1:3" s="501" customFormat="1" ht="17.25" customHeight="1" x14ac:dyDescent="0.45">
      <c r="A171" s="498"/>
      <c r="B171" s="531" t="s">
        <v>814</v>
      </c>
      <c r="C171" s="530">
        <f>SUM(C172:C177)</f>
        <v>759300</v>
      </c>
    </row>
    <row r="172" spans="1:3" s="501" customFormat="1" ht="19.5" customHeight="1" x14ac:dyDescent="0.45">
      <c r="A172" s="498"/>
      <c r="B172" s="534" t="s">
        <v>815</v>
      </c>
      <c r="C172" s="530">
        <v>70000</v>
      </c>
    </row>
    <row r="173" spans="1:3" s="501" customFormat="1" ht="18" customHeight="1" x14ac:dyDescent="0.45">
      <c r="A173" s="498"/>
      <c r="B173" s="520" t="s">
        <v>816</v>
      </c>
      <c r="C173" s="530">
        <v>600000</v>
      </c>
    </row>
    <row r="174" spans="1:3" s="501" customFormat="1" ht="17.25" customHeight="1" x14ac:dyDescent="0.45">
      <c r="A174" s="498"/>
      <c r="B174" s="516" t="s">
        <v>817</v>
      </c>
      <c r="C174" s="530">
        <v>42000</v>
      </c>
    </row>
    <row r="175" spans="1:3" s="501" customFormat="1" ht="16.5" customHeight="1" x14ac:dyDescent="0.45">
      <c r="A175" s="498"/>
      <c r="B175" s="522" t="s">
        <v>818</v>
      </c>
      <c r="C175" s="530">
        <v>4800</v>
      </c>
    </row>
    <row r="176" spans="1:3" s="501" customFormat="1" ht="19.5" customHeight="1" x14ac:dyDescent="0.45">
      <c r="A176" s="498"/>
      <c r="B176" s="532" t="s">
        <v>819</v>
      </c>
      <c r="C176" s="530">
        <v>30000</v>
      </c>
    </row>
    <row r="177" spans="1:3" s="501" customFormat="1" ht="21" customHeight="1" x14ac:dyDescent="0.45">
      <c r="A177" s="498"/>
      <c r="B177" s="533" t="s">
        <v>820</v>
      </c>
      <c r="C177" s="530">
        <v>12500</v>
      </c>
    </row>
    <row r="178" spans="1:3" s="501" customFormat="1" ht="18" customHeight="1" x14ac:dyDescent="0.45">
      <c r="A178" s="498"/>
      <c r="B178" s="540" t="s">
        <v>821</v>
      </c>
      <c r="C178" s="530">
        <f>SUM(C179)</f>
        <v>105000</v>
      </c>
    </row>
    <row r="179" spans="1:3" s="501" customFormat="1" ht="18" customHeight="1" x14ac:dyDescent="0.45">
      <c r="A179" s="498"/>
      <c r="B179" s="519" t="s">
        <v>822</v>
      </c>
      <c r="C179" s="530">
        <v>105000</v>
      </c>
    </row>
    <row r="180" spans="1:3" s="501" customFormat="1" ht="18" customHeight="1" x14ac:dyDescent="0.45">
      <c r="A180" s="498"/>
      <c r="B180" s="531" t="s">
        <v>823</v>
      </c>
      <c r="C180" s="530">
        <f>SUM(C181:C187)</f>
        <v>1602860</v>
      </c>
    </row>
    <row r="181" spans="1:3" s="501" customFormat="1" ht="18" customHeight="1" x14ac:dyDescent="0.45">
      <c r="A181" s="498"/>
      <c r="B181" s="519" t="s">
        <v>824</v>
      </c>
      <c r="C181" s="530">
        <v>1250000</v>
      </c>
    </row>
    <row r="182" spans="1:3" s="501" customFormat="1" ht="18" customHeight="1" x14ac:dyDescent="0.45">
      <c r="A182" s="498"/>
      <c r="B182" s="534" t="s">
        <v>825</v>
      </c>
      <c r="C182" s="530">
        <v>35000</v>
      </c>
    </row>
    <row r="183" spans="1:3" s="501" customFormat="1" ht="18" customHeight="1" x14ac:dyDescent="0.45">
      <c r="A183" s="498"/>
      <c r="B183" s="520" t="s">
        <v>826</v>
      </c>
      <c r="C183" s="530">
        <v>300000</v>
      </c>
    </row>
    <row r="184" spans="1:3" s="501" customFormat="1" ht="21" customHeight="1" x14ac:dyDescent="0.45">
      <c r="A184" s="498"/>
      <c r="B184" s="516" t="s">
        <v>827</v>
      </c>
      <c r="C184" s="530">
        <v>8400</v>
      </c>
    </row>
    <row r="185" spans="1:3" s="501" customFormat="1" ht="18" customHeight="1" x14ac:dyDescent="0.45">
      <c r="A185" s="498"/>
      <c r="B185" s="522" t="s">
        <v>828</v>
      </c>
      <c r="C185" s="530">
        <v>960</v>
      </c>
    </row>
    <row r="186" spans="1:3" s="501" customFormat="1" ht="21" customHeight="1" x14ac:dyDescent="0.45">
      <c r="A186" s="498"/>
      <c r="B186" s="532" t="s">
        <v>744</v>
      </c>
      <c r="C186" s="530">
        <v>6000</v>
      </c>
    </row>
    <row r="187" spans="1:3" s="501" customFormat="1" ht="18" customHeight="1" x14ac:dyDescent="0.45">
      <c r="A187" s="498"/>
      <c r="B187" s="533" t="s">
        <v>745</v>
      </c>
      <c r="C187" s="530">
        <v>2500</v>
      </c>
    </row>
    <row r="188" spans="1:3" s="501" customFormat="1" ht="18" customHeight="1" x14ac:dyDescent="0.45">
      <c r="A188" s="498"/>
      <c r="B188" s="531" t="s">
        <v>829</v>
      </c>
      <c r="C188" s="530">
        <f>SUM(C189)</f>
        <v>200000</v>
      </c>
    </row>
    <row r="189" spans="1:3" s="501" customFormat="1" ht="18" customHeight="1" x14ac:dyDescent="0.45">
      <c r="A189" s="498"/>
      <c r="B189" s="194" t="s">
        <v>830</v>
      </c>
      <c r="C189" s="530">
        <v>200000</v>
      </c>
    </row>
    <row r="190" spans="1:3" s="501" customFormat="1" ht="19.5" customHeight="1" x14ac:dyDescent="0.45">
      <c r="A190" s="498"/>
      <c r="B190" s="531" t="s">
        <v>831</v>
      </c>
      <c r="C190" s="530">
        <f>SUM(C191:C194)</f>
        <v>57000</v>
      </c>
    </row>
    <row r="191" spans="1:3" s="501" customFormat="1" ht="19.5" customHeight="1" x14ac:dyDescent="0.45">
      <c r="A191" s="498"/>
      <c r="B191" s="520" t="s">
        <v>747</v>
      </c>
      <c r="C191" s="530">
        <v>10000</v>
      </c>
    </row>
    <row r="192" spans="1:3" s="501" customFormat="1" ht="19.5" customHeight="1" x14ac:dyDescent="0.45">
      <c r="A192" s="498"/>
      <c r="B192" s="522" t="s">
        <v>748</v>
      </c>
      <c r="C192" s="530">
        <v>5000</v>
      </c>
    </row>
    <row r="193" spans="1:3" s="501" customFormat="1" ht="19.5" customHeight="1" x14ac:dyDescent="0.45">
      <c r="A193" s="498"/>
      <c r="B193" s="522" t="s">
        <v>749</v>
      </c>
      <c r="C193" s="530">
        <v>12000</v>
      </c>
    </row>
    <row r="194" spans="1:3" s="501" customFormat="1" ht="21" customHeight="1" x14ac:dyDescent="0.45">
      <c r="A194" s="498"/>
      <c r="B194" s="522" t="s">
        <v>750</v>
      </c>
      <c r="C194" s="530">
        <v>30000</v>
      </c>
    </row>
    <row r="195" spans="1:3" s="501" customFormat="1" ht="18" customHeight="1" x14ac:dyDescent="0.45">
      <c r="A195" s="498"/>
      <c r="B195" s="536" t="s">
        <v>832</v>
      </c>
      <c r="C195" s="530">
        <f>SUM(C196:C198)</f>
        <v>295190</v>
      </c>
    </row>
    <row r="196" spans="1:3" s="501" customFormat="1" ht="17.25" customHeight="1" x14ac:dyDescent="0.45">
      <c r="A196" s="498"/>
      <c r="B196" s="519" t="s">
        <v>833</v>
      </c>
      <c r="C196" s="530">
        <v>127000</v>
      </c>
    </row>
    <row r="197" spans="1:3" s="501" customFormat="1" ht="17.25" customHeight="1" x14ac:dyDescent="0.45">
      <c r="A197" s="498"/>
      <c r="B197" s="519" t="s">
        <v>834</v>
      </c>
      <c r="C197" s="530">
        <v>100000</v>
      </c>
    </row>
    <row r="198" spans="1:3" s="501" customFormat="1" ht="17.25" customHeight="1" thickBot="1" x14ac:dyDescent="0.5">
      <c r="A198" s="498"/>
      <c r="B198" s="524" t="s">
        <v>835</v>
      </c>
      <c r="C198" s="530">
        <v>68190</v>
      </c>
    </row>
    <row r="199" spans="1:3" ht="17.25" customHeight="1" thickBot="1" x14ac:dyDescent="0.5">
      <c r="A199" s="502">
        <v>2.6</v>
      </c>
      <c r="B199" s="542" t="s">
        <v>836</v>
      </c>
      <c r="C199" s="504">
        <f>SUM(C200+C207+C212+C217)</f>
        <v>14285630</v>
      </c>
    </row>
    <row r="200" spans="1:3" ht="17.25" customHeight="1" x14ac:dyDescent="0.45">
      <c r="A200" s="498"/>
      <c r="B200" s="543" t="s">
        <v>837</v>
      </c>
      <c r="C200" s="539">
        <f>SUM(C201:C206)</f>
        <v>607440</v>
      </c>
    </row>
    <row r="201" spans="1:3" ht="21" x14ac:dyDescent="0.45">
      <c r="A201" s="498"/>
      <c r="B201" s="533" t="s">
        <v>838</v>
      </c>
      <c r="C201" s="530">
        <v>56000</v>
      </c>
    </row>
    <row r="202" spans="1:3" ht="21" x14ac:dyDescent="0.45">
      <c r="A202" s="498"/>
      <c r="B202" s="516" t="s">
        <v>839</v>
      </c>
      <c r="C202" s="530">
        <v>480000</v>
      </c>
    </row>
    <row r="203" spans="1:3" ht="21" x14ac:dyDescent="0.45">
      <c r="A203" s="498"/>
      <c r="B203" s="522" t="s">
        <v>840</v>
      </c>
      <c r="C203" s="530">
        <v>33600</v>
      </c>
    </row>
    <row r="204" spans="1:3" ht="21" x14ac:dyDescent="0.45">
      <c r="A204" s="498"/>
      <c r="B204" s="532" t="s">
        <v>841</v>
      </c>
      <c r="C204" s="530">
        <v>24000</v>
      </c>
    </row>
    <row r="205" spans="1:3" ht="21" x14ac:dyDescent="0.45">
      <c r="A205" s="498"/>
      <c r="B205" s="532" t="s">
        <v>842</v>
      </c>
      <c r="C205" s="530">
        <v>3840</v>
      </c>
    </row>
    <row r="206" spans="1:3" ht="21" x14ac:dyDescent="0.45">
      <c r="A206" s="498"/>
      <c r="B206" s="518" t="s">
        <v>843</v>
      </c>
      <c r="C206" s="530">
        <v>10000</v>
      </c>
    </row>
    <row r="207" spans="1:3" ht="16.5" customHeight="1" x14ac:dyDescent="0.45">
      <c r="A207" s="498"/>
      <c r="B207" s="544" t="s">
        <v>844</v>
      </c>
      <c r="C207" s="530">
        <f>SUM(C208:C211)</f>
        <v>13146000</v>
      </c>
    </row>
    <row r="208" spans="1:3" ht="16.5" customHeight="1" x14ac:dyDescent="0.45">
      <c r="A208" s="498"/>
      <c r="B208" s="515" t="s">
        <v>845</v>
      </c>
      <c r="C208" s="530">
        <v>98000</v>
      </c>
    </row>
    <row r="209" spans="1:3" ht="16.5" customHeight="1" x14ac:dyDescent="0.45">
      <c r="A209" s="498"/>
      <c r="B209" s="533" t="s">
        <v>846</v>
      </c>
      <c r="C209" s="530">
        <v>7000000</v>
      </c>
    </row>
    <row r="210" spans="1:3" ht="16.5" customHeight="1" x14ac:dyDescent="0.45">
      <c r="A210" s="498"/>
      <c r="B210" s="532" t="s">
        <v>847</v>
      </c>
      <c r="C210" s="530">
        <v>1008000</v>
      </c>
    </row>
    <row r="211" spans="1:3" ht="16.5" customHeight="1" x14ac:dyDescent="0.45">
      <c r="A211" s="498"/>
      <c r="B211" s="532" t="s">
        <v>848</v>
      </c>
      <c r="C211" s="530">
        <v>5040000</v>
      </c>
    </row>
    <row r="212" spans="1:3" ht="16.5" customHeight="1" x14ac:dyDescent="0.45">
      <c r="A212" s="498"/>
      <c r="B212" s="545" t="s">
        <v>849</v>
      </c>
      <c r="C212" s="530">
        <f>SUM(C213:C216)</f>
        <v>244000</v>
      </c>
    </row>
    <row r="213" spans="1:3" ht="16.5" customHeight="1" x14ac:dyDescent="0.45">
      <c r="A213" s="498"/>
      <c r="B213" s="520" t="s">
        <v>850</v>
      </c>
      <c r="C213" s="530">
        <v>40000</v>
      </c>
    </row>
    <row r="214" spans="1:3" ht="16.5" customHeight="1" x14ac:dyDescent="0.45">
      <c r="A214" s="498"/>
      <c r="B214" s="522" t="s">
        <v>851</v>
      </c>
      <c r="C214" s="530">
        <v>20000</v>
      </c>
    </row>
    <row r="215" spans="1:3" ht="16.5" customHeight="1" x14ac:dyDescent="0.45">
      <c r="A215" s="498"/>
      <c r="B215" s="522" t="s">
        <v>852</v>
      </c>
      <c r="C215" s="530">
        <v>24000</v>
      </c>
    </row>
    <row r="216" spans="1:3" ht="16.5" customHeight="1" x14ac:dyDescent="0.45">
      <c r="A216" s="498"/>
      <c r="B216" s="522" t="s">
        <v>853</v>
      </c>
      <c r="C216" s="530">
        <v>160000</v>
      </c>
    </row>
    <row r="217" spans="1:3" ht="16.5" customHeight="1" x14ac:dyDescent="0.45">
      <c r="A217" s="498"/>
      <c r="B217" s="536" t="s">
        <v>854</v>
      </c>
      <c r="C217" s="530">
        <f>SUM(C218:C220)</f>
        <v>288190</v>
      </c>
    </row>
    <row r="218" spans="1:3" ht="16.5" customHeight="1" x14ac:dyDescent="0.45">
      <c r="A218" s="498"/>
      <c r="B218" s="519" t="s">
        <v>833</v>
      </c>
      <c r="C218" s="530">
        <v>120000</v>
      </c>
    </row>
    <row r="219" spans="1:3" ht="16.5" customHeight="1" x14ac:dyDescent="0.45">
      <c r="A219" s="498"/>
      <c r="B219" s="519" t="s">
        <v>834</v>
      </c>
      <c r="C219" s="530">
        <v>100000</v>
      </c>
    </row>
    <row r="220" spans="1:3" ht="16.5" customHeight="1" thickBot="1" x14ac:dyDescent="0.5">
      <c r="A220" s="498"/>
      <c r="B220" s="524" t="s">
        <v>835</v>
      </c>
      <c r="C220" s="530">
        <v>68190</v>
      </c>
    </row>
    <row r="221" spans="1:3" ht="16.5" customHeight="1" thickBot="1" x14ac:dyDescent="0.5">
      <c r="A221" s="502">
        <v>2.7</v>
      </c>
      <c r="B221" s="542" t="s">
        <v>855</v>
      </c>
      <c r="C221" s="504">
        <f>SUM(C222+C228+C233)</f>
        <v>2187080</v>
      </c>
    </row>
    <row r="222" spans="1:3" ht="16.5" customHeight="1" x14ac:dyDescent="0.45">
      <c r="A222" s="498"/>
      <c r="B222" s="543" t="s">
        <v>856</v>
      </c>
      <c r="C222" s="539">
        <f>SUM(C223:C227)</f>
        <v>1806000</v>
      </c>
    </row>
    <row r="223" spans="1:3" ht="16.5" customHeight="1" x14ac:dyDescent="0.45">
      <c r="A223" s="498"/>
      <c r="B223" s="533" t="s">
        <v>857</v>
      </c>
      <c r="C223" s="530">
        <v>14000</v>
      </c>
    </row>
    <row r="224" spans="1:3" ht="16.5" customHeight="1" x14ac:dyDescent="0.45">
      <c r="A224" s="498"/>
      <c r="B224" s="532" t="s">
        <v>858</v>
      </c>
      <c r="C224" s="530">
        <v>240000</v>
      </c>
    </row>
    <row r="225" spans="1:3" ht="16.5" customHeight="1" x14ac:dyDescent="0.45">
      <c r="A225" s="498"/>
      <c r="B225" s="532" t="s">
        <v>859</v>
      </c>
      <c r="C225" s="530">
        <v>400000</v>
      </c>
    </row>
    <row r="226" spans="1:3" ht="16.5" customHeight="1" x14ac:dyDescent="0.45">
      <c r="A226" s="498"/>
      <c r="B226" s="532" t="s">
        <v>860</v>
      </c>
      <c r="C226" s="530">
        <v>192000</v>
      </c>
    </row>
    <row r="227" spans="1:3" ht="21" x14ac:dyDescent="0.45">
      <c r="A227" s="498"/>
      <c r="B227" s="532" t="s">
        <v>861</v>
      </c>
      <c r="C227" s="530">
        <v>960000</v>
      </c>
    </row>
    <row r="228" spans="1:3" ht="21" x14ac:dyDescent="0.45">
      <c r="A228" s="498"/>
      <c r="B228" s="545" t="s">
        <v>862</v>
      </c>
      <c r="C228" s="530">
        <f>SUM(C229:C232)</f>
        <v>134000</v>
      </c>
    </row>
    <row r="229" spans="1:3" ht="21" x14ac:dyDescent="0.45">
      <c r="A229" s="498"/>
      <c r="B229" s="520" t="s">
        <v>863</v>
      </c>
      <c r="C229" s="530">
        <v>20000</v>
      </c>
    </row>
    <row r="230" spans="1:3" ht="21" x14ac:dyDescent="0.45">
      <c r="A230" s="498"/>
      <c r="B230" s="522" t="s">
        <v>864</v>
      </c>
      <c r="C230" s="530">
        <v>10000</v>
      </c>
    </row>
    <row r="231" spans="1:3" ht="21" x14ac:dyDescent="0.45">
      <c r="A231" s="498"/>
      <c r="B231" s="522" t="s">
        <v>865</v>
      </c>
      <c r="C231" s="530">
        <v>24000</v>
      </c>
    </row>
    <row r="232" spans="1:3" ht="21" x14ac:dyDescent="0.45">
      <c r="A232" s="498"/>
      <c r="B232" s="522" t="s">
        <v>866</v>
      </c>
      <c r="C232" s="530">
        <v>80000</v>
      </c>
    </row>
    <row r="233" spans="1:3" ht="21" x14ac:dyDescent="0.45">
      <c r="A233" s="498"/>
      <c r="B233" s="536" t="s">
        <v>867</v>
      </c>
      <c r="C233" s="530">
        <f>SUM(C234:C236)</f>
        <v>247080</v>
      </c>
    </row>
    <row r="234" spans="1:3" ht="21" x14ac:dyDescent="0.45">
      <c r="A234" s="498"/>
      <c r="B234" s="519" t="s">
        <v>789</v>
      </c>
      <c r="C234" s="530">
        <v>120000</v>
      </c>
    </row>
    <row r="235" spans="1:3" ht="21" x14ac:dyDescent="0.45">
      <c r="A235" s="498"/>
      <c r="B235" s="519" t="s">
        <v>834</v>
      </c>
      <c r="C235" s="530">
        <v>100000</v>
      </c>
    </row>
    <row r="236" spans="1:3" ht="21.75" thickBot="1" x14ac:dyDescent="0.5">
      <c r="A236" s="556"/>
      <c r="B236" s="519" t="s">
        <v>835</v>
      </c>
      <c r="C236" s="546">
        <v>27080</v>
      </c>
    </row>
    <row r="237" spans="1:3" ht="21" x14ac:dyDescent="0.45">
      <c r="A237" s="547"/>
      <c r="B237" s="548" t="s">
        <v>547</v>
      </c>
      <c r="C237" s="549"/>
    </row>
    <row r="238" spans="1:3" ht="21.75" x14ac:dyDescent="0.5">
      <c r="A238" s="550"/>
      <c r="B238" s="551" t="s">
        <v>868</v>
      </c>
      <c r="C238" s="552">
        <f>SUM(C8+C24+C36+C83+C128+C163+C199+C221)</f>
        <v>56853650</v>
      </c>
    </row>
    <row r="240" spans="1:3" x14ac:dyDescent="0.45">
      <c r="A240" s="553" t="s">
        <v>253</v>
      </c>
      <c r="B240" s="501"/>
      <c r="C240" s="501"/>
    </row>
    <row r="241" spans="1:4" x14ac:dyDescent="0.45">
      <c r="A241" s="501"/>
      <c r="B241" s="501"/>
      <c r="C241" s="501"/>
    </row>
    <row r="242" spans="1:4" x14ac:dyDescent="0.45">
      <c r="A242" s="501"/>
      <c r="B242" s="501"/>
      <c r="C242" s="554"/>
    </row>
    <row r="243" spans="1:4" x14ac:dyDescent="0.45">
      <c r="A243" s="501"/>
      <c r="B243" s="501"/>
      <c r="C243" s="554"/>
      <c r="D243" s="555"/>
    </row>
    <row r="244" spans="1:4" x14ac:dyDescent="0.45">
      <c r="A244" s="501"/>
      <c r="B244" s="501"/>
      <c r="C244" s="501"/>
    </row>
    <row r="245" spans="1:4" x14ac:dyDescent="0.45">
      <c r="A245" s="501"/>
      <c r="B245" s="501"/>
      <c r="C245" s="501"/>
    </row>
    <row r="247" spans="1:4" x14ac:dyDescent="0.45">
      <c r="A247" s="501"/>
      <c r="B247" s="501"/>
      <c r="C247" s="501"/>
    </row>
    <row r="248" spans="1:4" x14ac:dyDescent="0.45">
      <c r="A248" s="501"/>
      <c r="B248" s="501"/>
      <c r="C248" s="501"/>
    </row>
    <row r="249" spans="1:4" x14ac:dyDescent="0.45">
      <c r="A249" s="501"/>
      <c r="B249" s="501"/>
      <c r="C249" s="501"/>
    </row>
    <row r="250" spans="1:4" x14ac:dyDescent="0.45">
      <c r="A250" s="501"/>
      <c r="B250" s="501"/>
      <c r="C250" s="501"/>
    </row>
    <row r="251" spans="1:4" x14ac:dyDescent="0.45">
      <c r="A251" s="501"/>
      <c r="B251" s="501"/>
      <c r="C251" s="501"/>
    </row>
    <row r="252" spans="1:4" x14ac:dyDescent="0.45">
      <c r="A252" s="501"/>
      <c r="B252" s="501"/>
      <c r="C252" s="501"/>
    </row>
    <row r="253" spans="1:4" x14ac:dyDescent="0.45">
      <c r="A253" s="501"/>
      <c r="B253" s="501"/>
      <c r="C253" s="501"/>
    </row>
    <row r="254" spans="1:4" x14ac:dyDescent="0.45">
      <c r="A254" s="501"/>
      <c r="B254" s="501"/>
      <c r="C254" s="501"/>
    </row>
    <row r="255" spans="1:4" x14ac:dyDescent="0.45">
      <c r="A255" s="501"/>
      <c r="B255" s="501"/>
      <c r="C255" s="501"/>
    </row>
    <row r="256" spans="1:4" x14ac:dyDescent="0.45">
      <c r="A256" s="501"/>
      <c r="B256" s="501"/>
      <c r="C256" s="501"/>
    </row>
    <row r="257" spans="1:3" x14ac:dyDescent="0.45">
      <c r="A257" s="501"/>
      <c r="B257" s="501"/>
      <c r="C257" s="501"/>
    </row>
    <row r="258" spans="1:3" x14ac:dyDescent="0.45">
      <c r="A258" s="501"/>
      <c r="B258" s="501"/>
      <c r="C258" s="501"/>
    </row>
    <row r="259" spans="1:3" x14ac:dyDescent="0.45">
      <c r="A259" s="501"/>
      <c r="B259" s="501"/>
      <c r="C259" s="501"/>
    </row>
    <row r="260" spans="1:3" x14ac:dyDescent="0.45">
      <c r="A260" s="501"/>
      <c r="B260" s="501"/>
      <c r="C260" s="501"/>
    </row>
    <row r="261" spans="1:3" x14ac:dyDescent="0.45">
      <c r="A261" s="501"/>
      <c r="B261" s="501"/>
      <c r="C261" s="501"/>
    </row>
    <row r="262" spans="1:3" x14ac:dyDescent="0.45">
      <c r="A262" s="501"/>
      <c r="B262" s="501"/>
      <c r="C262" s="501"/>
    </row>
    <row r="263" spans="1:3" x14ac:dyDescent="0.45">
      <c r="A263" s="501"/>
      <c r="B263" s="501"/>
      <c r="C263" s="501"/>
    </row>
    <row r="264" spans="1:3" x14ac:dyDescent="0.45">
      <c r="A264" s="501"/>
      <c r="B264" s="501"/>
      <c r="C264" s="501"/>
    </row>
    <row r="265" spans="1:3" x14ac:dyDescent="0.45">
      <c r="A265" s="501"/>
      <c r="B265" s="501"/>
      <c r="C265" s="501"/>
    </row>
    <row r="266" spans="1:3" x14ac:dyDescent="0.45">
      <c r="A266" s="501"/>
      <c r="B266" s="501"/>
      <c r="C266" s="501"/>
    </row>
    <row r="267" spans="1:3" x14ac:dyDescent="0.45">
      <c r="A267" s="501"/>
      <c r="B267" s="501"/>
      <c r="C267" s="501"/>
    </row>
    <row r="268" spans="1:3" x14ac:dyDescent="0.45">
      <c r="A268" s="501"/>
      <c r="B268" s="501"/>
      <c r="C268" s="501"/>
    </row>
    <row r="269" spans="1:3" x14ac:dyDescent="0.45">
      <c r="A269" s="501"/>
      <c r="B269" s="501"/>
      <c r="C269" s="501"/>
    </row>
    <row r="270" spans="1:3" x14ac:dyDescent="0.45">
      <c r="A270" s="501"/>
      <c r="B270" s="501"/>
      <c r="C270" s="501"/>
    </row>
    <row r="271" spans="1:3" x14ac:dyDescent="0.45">
      <c r="A271" s="501"/>
      <c r="B271" s="501"/>
      <c r="C271" s="501"/>
    </row>
    <row r="272" spans="1:3" x14ac:dyDescent="0.45">
      <c r="A272" s="501"/>
      <c r="B272" s="501"/>
      <c r="C272" s="501"/>
    </row>
    <row r="273" spans="1:3" x14ac:dyDescent="0.45">
      <c r="A273" s="501"/>
      <c r="B273" s="501"/>
      <c r="C273" s="501"/>
    </row>
    <row r="274" spans="1:3" x14ac:dyDescent="0.45">
      <c r="A274" s="501"/>
      <c r="B274" s="501"/>
      <c r="C274" s="501"/>
    </row>
    <row r="275" spans="1:3" x14ac:dyDescent="0.45">
      <c r="A275" s="501"/>
      <c r="B275" s="501"/>
      <c r="C275" s="501"/>
    </row>
    <row r="276" spans="1:3" x14ac:dyDescent="0.45">
      <c r="A276" s="501"/>
      <c r="B276" s="501"/>
      <c r="C276" s="501"/>
    </row>
    <row r="277" spans="1:3" x14ac:dyDescent="0.45">
      <c r="A277" s="501"/>
      <c r="B277" s="501"/>
      <c r="C277" s="501"/>
    </row>
    <row r="278" spans="1:3" x14ac:dyDescent="0.45">
      <c r="A278" s="501"/>
      <c r="B278" s="501"/>
      <c r="C278" s="501"/>
    </row>
    <row r="279" spans="1:3" x14ac:dyDescent="0.45">
      <c r="A279" s="501"/>
      <c r="B279" s="501"/>
      <c r="C279" s="501"/>
    </row>
    <row r="280" spans="1:3" x14ac:dyDescent="0.45">
      <c r="A280" s="501"/>
      <c r="B280" s="501"/>
      <c r="C280" s="501"/>
    </row>
    <row r="281" spans="1:3" x14ac:dyDescent="0.45">
      <c r="A281" s="501"/>
      <c r="B281" s="501"/>
      <c r="C281" s="501"/>
    </row>
    <row r="282" spans="1:3" x14ac:dyDescent="0.45">
      <c r="A282" s="501"/>
      <c r="B282" s="501"/>
      <c r="C282" s="501"/>
    </row>
    <row r="283" spans="1:3" x14ac:dyDescent="0.45">
      <c r="A283" s="501"/>
      <c r="B283" s="501"/>
      <c r="C283" s="501"/>
    </row>
    <row r="284" spans="1:3" x14ac:dyDescent="0.45">
      <c r="A284" s="501"/>
      <c r="B284" s="501"/>
      <c r="C284" s="501"/>
    </row>
    <row r="285" spans="1:3" x14ac:dyDescent="0.45">
      <c r="A285" s="501"/>
      <c r="B285" s="501"/>
      <c r="C285" s="501"/>
    </row>
    <row r="286" spans="1:3" x14ac:dyDescent="0.45">
      <c r="A286" s="501"/>
      <c r="B286" s="501"/>
      <c r="C286" s="501"/>
    </row>
    <row r="287" spans="1:3" x14ac:dyDescent="0.45">
      <c r="A287" s="501"/>
      <c r="B287" s="501"/>
      <c r="C287" s="501"/>
    </row>
    <row r="288" spans="1:3" x14ac:dyDescent="0.45">
      <c r="A288" s="501"/>
      <c r="B288" s="501"/>
      <c r="C288" s="501"/>
    </row>
    <row r="290" spans="1:3" x14ac:dyDescent="0.45">
      <c r="A290" s="501"/>
      <c r="B290" s="501"/>
      <c r="C290" s="501"/>
    </row>
    <row r="291" spans="1:3" x14ac:dyDescent="0.45">
      <c r="A291" s="501"/>
      <c r="B291" s="501"/>
      <c r="C291" s="501"/>
    </row>
    <row r="292" spans="1:3" x14ac:dyDescent="0.45">
      <c r="A292" s="501"/>
      <c r="B292" s="501"/>
      <c r="C292" s="501"/>
    </row>
    <row r="293" spans="1:3" x14ac:dyDescent="0.45">
      <c r="A293" s="501"/>
      <c r="B293" s="501"/>
      <c r="C293" s="501"/>
    </row>
    <row r="294" spans="1:3" x14ac:dyDescent="0.45">
      <c r="A294" s="501"/>
      <c r="B294" s="501"/>
      <c r="C294" s="501"/>
    </row>
    <row r="295" spans="1:3" x14ac:dyDescent="0.45">
      <c r="A295" s="501"/>
      <c r="B295" s="501"/>
      <c r="C295" s="501"/>
    </row>
    <row r="296" spans="1:3" x14ac:dyDescent="0.45">
      <c r="A296" s="501"/>
      <c r="B296" s="501"/>
      <c r="C296" s="501"/>
    </row>
    <row r="297" spans="1:3" x14ac:dyDescent="0.45">
      <c r="A297" s="501"/>
      <c r="B297" s="501"/>
      <c r="C297" s="501"/>
    </row>
    <row r="298" spans="1:3" x14ac:dyDescent="0.45">
      <c r="A298" s="501"/>
      <c r="B298" s="501"/>
      <c r="C298" s="501"/>
    </row>
    <row r="299" spans="1:3" x14ac:dyDescent="0.45">
      <c r="A299" s="501"/>
      <c r="B299" s="501"/>
      <c r="C299" s="501"/>
    </row>
    <row r="300" spans="1:3" x14ac:dyDescent="0.45">
      <c r="A300" s="501"/>
      <c r="B300" s="501"/>
      <c r="C300" s="501"/>
    </row>
    <row r="301" spans="1:3" x14ac:dyDescent="0.45">
      <c r="A301" s="501"/>
      <c r="B301" s="501"/>
      <c r="C301" s="501"/>
    </row>
    <row r="302" spans="1:3" x14ac:dyDescent="0.45">
      <c r="A302" s="501"/>
      <c r="B302" s="501"/>
      <c r="C302" s="501"/>
    </row>
    <row r="303" spans="1:3" x14ac:dyDescent="0.45">
      <c r="A303" s="501"/>
      <c r="B303" s="501"/>
      <c r="C303" s="501"/>
    </row>
    <row r="304" spans="1:3" x14ac:dyDescent="0.45">
      <c r="A304" s="501"/>
      <c r="B304" s="501"/>
      <c r="C304" s="501"/>
    </row>
    <row r="305" spans="1:3" x14ac:dyDescent="0.45">
      <c r="A305" s="501"/>
      <c r="B305" s="501"/>
      <c r="C305" s="501"/>
    </row>
    <row r="306" spans="1:3" x14ac:dyDescent="0.45">
      <c r="A306" s="501"/>
      <c r="B306" s="501"/>
      <c r="C306" s="501"/>
    </row>
    <row r="307" spans="1:3" x14ac:dyDescent="0.45">
      <c r="A307" s="501"/>
      <c r="B307" s="501"/>
      <c r="C307" s="501"/>
    </row>
    <row r="308" spans="1:3" x14ac:dyDescent="0.45">
      <c r="A308" s="501"/>
      <c r="B308" s="501"/>
      <c r="C308" s="501"/>
    </row>
    <row r="309" spans="1:3" x14ac:dyDescent="0.45">
      <c r="A309" s="501"/>
      <c r="B309" s="501"/>
      <c r="C309" s="501"/>
    </row>
    <row r="310" spans="1:3" x14ac:dyDescent="0.45">
      <c r="A310" s="501"/>
      <c r="B310" s="501"/>
      <c r="C310" s="501"/>
    </row>
    <row r="311" spans="1:3" x14ac:dyDescent="0.45">
      <c r="A311" s="501"/>
      <c r="B311" s="501"/>
      <c r="C311" s="501"/>
    </row>
    <row r="312" spans="1:3" x14ac:dyDescent="0.45">
      <c r="A312" s="501"/>
      <c r="B312" s="501"/>
      <c r="C312" s="501"/>
    </row>
    <row r="313" spans="1:3" x14ac:dyDescent="0.45">
      <c r="A313" s="501"/>
      <c r="B313" s="501"/>
      <c r="C313" s="501"/>
    </row>
    <row r="314" spans="1:3" x14ac:dyDescent="0.45">
      <c r="A314" s="501"/>
      <c r="B314" s="501"/>
      <c r="C314" s="501"/>
    </row>
    <row r="315" spans="1:3" x14ac:dyDescent="0.45">
      <c r="A315" s="501"/>
      <c r="B315" s="501"/>
      <c r="C315" s="501"/>
    </row>
    <row r="316" spans="1:3" x14ac:dyDescent="0.45">
      <c r="A316" s="501"/>
      <c r="B316" s="501"/>
      <c r="C316" s="501"/>
    </row>
    <row r="317" spans="1:3" x14ac:dyDescent="0.45">
      <c r="A317" s="501"/>
      <c r="B317" s="501"/>
      <c r="C317" s="501"/>
    </row>
    <row r="318" spans="1:3" x14ac:dyDescent="0.45">
      <c r="A318" s="501"/>
      <c r="B318" s="501"/>
      <c r="C318" s="501"/>
    </row>
    <row r="319" spans="1:3" x14ac:dyDescent="0.45">
      <c r="A319" s="501"/>
      <c r="B319" s="501"/>
      <c r="C319" s="501"/>
    </row>
    <row r="320" spans="1:3" x14ac:dyDescent="0.45">
      <c r="A320" s="501"/>
      <c r="B320" s="501"/>
      <c r="C320" s="501"/>
    </row>
    <row r="321" spans="1:3" x14ac:dyDescent="0.45">
      <c r="A321" s="501"/>
      <c r="B321" s="501"/>
      <c r="C321" s="501"/>
    </row>
    <row r="322" spans="1:3" x14ac:dyDescent="0.45">
      <c r="A322" s="501"/>
      <c r="B322" s="501"/>
      <c r="C322" s="501"/>
    </row>
    <row r="323" spans="1:3" x14ac:dyDescent="0.45">
      <c r="A323" s="501"/>
      <c r="B323" s="501"/>
      <c r="C323" s="501"/>
    </row>
    <row r="324" spans="1:3" x14ac:dyDescent="0.45">
      <c r="A324" s="501"/>
      <c r="B324" s="501"/>
      <c r="C324" s="501"/>
    </row>
    <row r="325" spans="1:3" x14ac:dyDescent="0.45">
      <c r="A325" s="501"/>
      <c r="B325" s="501"/>
      <c r="C325" s="501"/>
    </row>
    <row r="326" spans="1:3" x14ac:dyDescent="0.45">
      <c r="A326" s="501"/>
      <c r="B326" s="501"/>
      <c r="C326" s="501"/>
    </row>
    <row r="327" spans="1:3" x14ac:dyDescent="0.45">
      <c r="A327" s="501"/>
      <c r="B327" s="501"/>
      <c r="C327" s="501"/>
    </row>
    <row r="328" spans="1:3" x14ac:dyDescent="0.45">
      <c r="A328" s="501"/>
      <c r="B328" s="501"/>
      <c r="C328" s="501"/>
    </row>
    <row r="329" spans="1:3" x14ac:dyDescent="0.45">
      <c r="A329" s="501"/>
      <c r="B329" s="501"/>
      <c r="C329" s="501"/>
    </row>
    <row r="330" spans="1:3" x14ac:dyDescent="0.45">
      <c r="A330" s="501"/>
      <c r="B330" s="501"/>
      <c r="C330" s="501"/>
    </row>
    <row r="331" spans="1:3" x14ac:dyDescent="0.45">
      <c r="A331" s="501"/>
      <c r="B331" s="501"/>
      <c r="C331" s="501"/>
    </row>
    <row r="332" spans="1:3" x14ac:dyDescent="0.45">
      <c r="A332" s="501"/>
      <c r="B332" s="501"/>
      <c r="C332" s="501"/>
    </row>
    <row r="333" spans="1:3" x14ac:dyDescent="0.45">
      <c r="A333" s="501"/>
      <c r="B333" s="501"/>
      <c r="C333" s="501"/>
    </row>
    <row r="334" spans="1:3" x14ac:dyDescent="0.45">
      <c r="A334" s="501"/>
      <c r="B334" s="501"/>
      <c r="C334" s="501"/>
    </row>
    <row r="335" spans="1:3" x14ac:dyDescent="0.45">
      <c r="A335" s="501"/>
      <c r="B335" s="501"/>
      <c r="C335" s="501"/>
    </row>
    <row r="336" spans="1:3" x14ac:dyDescent="0.45">
      <c r="A336" s="501"/>
      <c r="B336" s="501"/>
      <c r="C336" s="501"/>
    </row>
    <row r="337" spans="1:3" x14ac:dyDescent="0.45">
      <c r="A337" s="501"/>
      <c r="B337" s="501"/>
      <c r="C337" s="501"/>
    </row>
    <row r="338" spans="1:3" x14ac:dyDescent="0.45">
      <c r="A338" s="501"/>
      <c r="B338" s="501"/>
      <c r="C338" s="501"/>
    </row>
    <row r="339" spans="1:3" x14ac:dyDescent="0.45">
      <c r="A339" s="501"/>
      <c r="B339" s="501"/>
      <c r="C339" s="501"/>
    </row>
    <row r="340" spans="1:3" x14ac:dyDescent="0.45">
      <c r="A340" s="501"/>
      <c r="B340" s="501"/>
      <c r="C340" s="501"/>
    </row>
    <row r="341" spans="1:3" x14ac:dyDescent="0.45">
      <c r="A341" s="501"/>
      <c r="B341" s="501"/>
      <c r="C341" s="501"/>
    </row>
    <row r="342" spans="1:3" x14ac:dyDescent="0.45">
      <c r="A342" s="501"/>
      <c r="B342" s="501"/>
      <c r="C342" s="501"/>
    </row>
    <row r="343" spans="1:3" x14ac:dyDescent="0.45">
      <c r="A343" s="501"/>
      <c r="B343" s="501"/>
      <c r="C343" s="501"/>
    </row>
    <row r="344" spans="1:3" x14ac:dyDescent="0.45">
      <c r="A344" s="501"/>
      <c r="B344" s="501"/>
      <c r="C344" s="501"/>
    </row>
    <row r="345" spans="1:3" x14ac:dyDescent="0.45">
      <c r="A345" s="501"/>
      <c r="B345" s="501"/>
      <c r="C345" s="501"/>
    </row>
    <row r="346" spans="1:3" x14ac:dyDescent="0.45">
      <c r="A346" s="501"/>
      <c r="B346" s="501"/>
      <c r="C346" s="501"/>
    </row>
    <row r="347" spans="1:3" x14ac:dyDescent="0.45">
      <c r="A347" s="501"/>
      <c r="B347" s="501"/>
      <c r="C347" s="501"/>
    </row>
    <row r="348" spans="1:3" x14ac:dyDescent="0.45">
      <c r="A348" s="501"/>
      <c r="B348" s="501"/>
      <c r="C348" s="501"/>
    </row>
  </sheetData>
  <mergeCells count="2">
    <mergeCell ref="A2:C2"/>
    <mergeCell ref="A4:C4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34"/>
  <sheetViews>
    <sheetView view="pageBreakPreview" zoomScale="140" zoomScaleNormal="130" zoomScaleSheetLayoutView="140" workbookViewId="0">
      <selection activeCell="B34" sqref="B34"/>
    </sheetView>
  </sheetViews>
  <sheetFormatPr defaultRowHeight="18.75" x14ac:dyDescent="0.45"/>
  <cols>
    <col min="1" max="1" width="3.875" style="497" customWidth="1"/>
    <col min="2" max="2" width="63.5" style="1" customWidth="1"/>
    <col min="3" max="3" width="0.125" style="1" hidden="1" customWidth="1"/>
    <col min="4" max="4" width="4.25" style="1" hidden="1" customWidth="1"/>
    <col min="5" max="5" width="5" style="1" hidden="1" customWidth="1"/>
    <col min="6" max="6" width="4.125" style="1" hidden="1" customWidth="1"/>
    <col min="7" max="7" width="5.125" style="614" hidden="1" customWidth="1"/>
    <col min="8" max="8" width="7.125" style="614" hidden="1" customWidth="1"/>
    <col min="9" max="9" width="6.5" style="614" hidden="1" customWidth="1"/>
    <col min="10" max="10" width="0.125" style="615" hidden="1" customWidth="1"/>
    <col min="11" max="11" width="14.5" style="616" customWidth="1"/>
    <col min="12" max="250" width="9" style="1"/>
    <col min="251" max="251" width="30.375" style="1" customWidth="1"/>
    <col min="252" max="252" width="5.25" style="1" customWidth="1"/>
    <col min="253" max="253" width="6.125" style="1" customWidth="1"/>
    <col min="254" max="254" width="6" style="1" customWidth="1"/>
    <col min="255" max="255" width="6.875" style="1" customWidth="1"/>
    <col min="256" max="256" width="9.25" style="1" customWidth="1"/>
    <col min="257" max="257" width="4.25" style="1" customWidth="1"/>
    <col min="258" max="258" width="5" style="1" customWidth="1"/>
    <col min="259" max="259" width="4.125" style="1" customWidth="1"/>
    <col min="260" max="260" width="4.5" style="1" customWidth="1"/>
    <col min="261" max="261" width="4.75" style="1" customWidth="1"/>
    <col min="262" max="262" width="6.5" style="1" customWidth="1"/>
    <col min="263" max="263" width="11" style="1" customWidth="1"/>
    <col min="264" max="264" width="13.375" style="1" customWidth="1"/>
    <col min="265" max="265" width="26" style="1" customWidth="1"/>
    <col min="266" max="506" width="9" style="1"/>
    <col min="507" max="507" width="30.375" style="1" customWidth="1"/>
    <col min="508" max="508" width="5.25" style="1" customWidth="1"/>
    <col min="509" max="509" width="6.125" style="1" customWidth="1"/>
    <col min="510" max="510" width="6" style="1" customWidth="1"/>
    <col min="511" max="511" width="6.875" style="1" customWidth="1"/>
    <col min="512" max="512" width="9.25" style="1" customWidth="1"/>
    <col min="513" max="513" width="4.25" style="1" customWidth="1"/>
    <col min="514" max="514" width="5" style="1" customWidth="1"/>
    <col min="515" max="515" width="4.125" style="1" customWidth="1"/>
    <col min="516" max="516" width="4.5" style="1" customWidth="1"/>
    <col min="517" max="517" width="4.75" style="1" customWidth="1"/>
    <col min="518" max="518" width="6.5" style="1" customWidth="1"/>
    <col min="519" max="519" width="11" style="1" customWidth="1"/>
    <col min="520" max="520" width="13.375" style="1" customWidth="1"/>
    <col min="521" max="521" width="26" style="1" customWidth="1"/>
    <col min="522" max="762" width="9" style="1"/>
    <col min="763" max="763" width="30.375" style="1" customWidth="1"/>
    <col min="764" max="764" width="5.25" style="1" customWidth="1"/>
    <col min="765" max="765" width="6.125" style="1" customWidth="1"/>
    <col min="766" max="766" width="6" style="1" customWidth="1"/>
    <col min="767" max="767" width="6.875" style="1" customWidth="1"/>
    <col min="768" max="768" width="9.25" style="1" customWidth="1"/>
    <col min="769" max="769" width="4.25" style="1" customWidth="1"/>
    <col min="770" max="770" width="5" style="1" customWidth="1"/>
    <col min="771" max="771" width="4.125" style="1" customWidth="1"/>
    <col min="772" max="772" width="4.5" style="1" customWidth="1"/>
    <col min="773" max="773" width="4.75" style="1" customWidth="1"/>
    <col min="774" max="774" width="6.5" style="1" customWidth="1"/>
    <col min="775" max="775" width="11" style="1" customWidth="1"/>
    <col min="776" max="776" width="13.375" style="1" customWidth="1"/>
    <col min="777" max="777" width="26" style="1" customWidth="1"/>
    <col min="778" max="1018" width="9" style="1"/>
    <col min="1019" max="1019" width="30.375" style="1" customWidth="1"/>
    <col min="1020" max="1020" width="5.25" style="1" customWidth="1"/>
    <col min="1021" max="1021" width="6.125" style="1" customWidth="1"/>
    <col min="1022" max="1022" width="6" style="1" customWidth="1"/>
    <col min="1023" max="1023" width="6.875" style="1" customWidth="1"/>
    <col min="1024" max="1024" width="9.25" style="1" customWidth="1"/>
    <col min="1025" max="1025" width="4.25" style="1" customWidth="1"/>
    <col min="1026" max="1026" width="5" style="1" customWidth="1"/>
    <col min="1027" max="1027" width="4.125" style="1" customWidth="1"/>
    <col min="1028" max="1028" width="4.5" style="1" customWidth="1"/>
    <col min="1029" max="1029" width="4.75" style="1" customWidth="1"/>
    <col min="1030" max="1030" width="6.5" style="1" customWidth="1"/>
    <col min="1031" max="1031" width="11" style="1" customWidth="1"/>
    <col min="1032" max="1032" width="13.375" style="1" customWidth="1"/>
    <col min="1033" max="1033" width="26" style="1" customWidth="1"/>
    <col min="1034" max="1274" width="9" style="1"/>
    <col min="1275" max="1275" width="30.375" style="1" customWidth="1"/>
    <col min="1276" max="1276" width="5.25" style="1" customWidth="1"/>
    <col min="1277" max="1277" width="6.125" style="1" customWidth="1"/>
    <col min="1278" max="1278" width="6" style="1" customWidth="1"/>
    <col min="1279" max="1279" width="6.875" style="1" customWidth="1"/>
    <col min="1280" max="1280" width="9.25" style="1" customWidth="1"/>
    <col min="1281" max="1281" width="4.25" style="1" customWidth="1"/>
    <col min="1282" max="1282" width="5" style="1" customWidth="1"/>
    <col min="1283" max="1283" width="4.125" style="1" customWidth="1"/>
    <col min="1284" max="1284" width="4.5" style="1" customWidth="1"/>
    <col min="1285" max="1285" width="4.75" style="1" customWidth="1"/>
    <col min="1286" max="1286" width="6.5" style="1" customWidth="1"/>
    <col min="1287" max="1287" width="11" style="1" customWidth="1"/>
    <col min="1288" max="1288" width="13.375" style="1" customWidth="1"/>
    <col min="1289" max="1289" width="26" style="1" customWidth="1"/>
    <col min="1290" max="1530" width="9" style="1"/>
    <col min="1531" max="1531" width="30.375" style="1" customWidth="1"/>
    <col min="1532" max="1532" width="5.25" style="1" customWidth="1"/>
    <col min="1533" max="1533" width="6.125" style="1" customWidth="1"/>
    <col min="1534" max="1534" width="6" style="1" customWidth="1"/>
    <col min="1535" max="1535" width="6.875" style="1" customWidth="1"/>
    <col min="1536" max="1536" width="9.25" style="1" customWidth="1"/>
    <col min="1537" max="1537" width="4.25" style="1" customWidth="1"/>
    <col min="1538" max="1538" width="5" style="1" customWidth="1"/>
    <col min="1539" max="1539" width="4.125" style="1" customWidth="1"/>
    <col min="1540" max="1540" width="4.5" style="1" customWidth="1"/>
    <col min="1541" max="1541" width="4.75" style="1" customWidth="1"/>
    <col min="1542" max="1542" width="6.5" style="1" customWidth="1"/>
    <col min="1543" max="1543" width="11" style="1" customWidth="1"/>
    <col min="1544" max="1544" width="13.375" style="1" customWidth="1"/>
    <col min="1545" max="1545" width="26" style="1" customWidth="1"/>
    <col min="1546" max="1786" width="9" style="1"/>
    <col min="1787" max="1787" width="30.375" style="1" customWidth="1"/>
    <col min="1788" max="1788" width="5.25" style="1" customWidth="1"/>
    <col min="1789" max="1789" width="6.125" style="1" customWidth="1"/>
    <col min="1790" max="1790" width="6" style="1" customWidth="1"/>
    <col min="1791" max="1791" width="6.875" style="1" customWidth="1"/>
    <col min="1792" max="1792" width="9.25" style="1" customWidth="1"/>
    <col min="1793" max="1793" width="4.25" style="1" customWidth="1"/>
    <col min="1794" max="1794" width="5" style="1" customWidth="1"/>
    <col min="1795" max="1795" width="4.125" style="1" customWidth="1"/>
    <col min="1796" max="1796" width="4.5" style="1" customWidth="1"/>
    <col min="1797" max="1797" width="4.75" style="1" customWidth="1"/>
    <col min="1798" max="1798" width="6.5" style="1" customWidth="1"/>
    <col min="1799" max="1799" width="11" style="1" customWidth="1"/>
    <col min="1800" max="1800" width="13.375" style="1" customWidth="1"/>
    <col min="1801" max="1801" width="26" style="1" customWidth="1"/>
    <col min="1802" max="2042" width="9" style="1"/>
    <col min="2043" max="2043" width="30.375" style="1" customWidth="1"/>
    <col min="2044" max="2044" width="5.25" style="1" customWidth="1"/>
    <col min="2045" max="2045" width="6.125" style="1" customWidth="1"/>
    <col min="2046" max="2046" width="6" style="1" customWidth="1"/>
    <col min="2047" max="2047" width="6.875" style="1" customWidth="1"/>
    <col min="2048" max="2048" width="9.25" style="1" customWidth="1"/>
    <col min="2049" max="2049" width="4.25" style="1" customWidth="1"/>
    <col min="2050" max="2050" width="5" style="1" customWidth="1"/>
    <col min="2051" max="2051" width="4.125" style="1" customWidth="1"/>
    <col min="2052" max="2052" width="4.5" style="1" customWidth="1"/>
    <col min="2053" max="2053" width="4.75" style="1" customWidth="1"/>
    <col min="2054" max="2054" width="6.5" style="1" customWidth="1"/>
    <col min="2055" max="2055" width="11" style="1" customWidth="1"/>
    <col min="2056" max="2056" width="13.375" style="1" customWidth="1"/>
    <col min="2057" max="2057" width="26" style="1" customWidth="1"/>
    <col min="2058" max="2298" width="9" style="1"/>
    <col min="2299" max="2299" width="30.375" style="1" customWidth="1"/>
    <col min="2300" max="2300" width="5.25" style="1" customWidth="1"/>
    <col min="2301" max="2301" width="6.125" style="1" customWidth="1"/>
    <col min="2302" max="2302" width="6" style="1" customWidth="1"/>
    <col min="2303" max="2303" width="6.875" style="1" customWidth="1"/>
    <col min="2304" max="2304" width="9.25" style="1" customWidth="1"/>
    <col min="2305" max="2305" width="4.25" style="1" customWidth="1"/>
    <col min="2306" max="2306" width="5" style="1" customWidth="1"/>
    <col min="2307" max="2307" width="4.125" style="1" customWidth="1"/>
    <col min="2308" max="2308" width="4.5" style="1" customWidth="1"/>
    <col min="2309" max="2309" width="4.75" style="1" customWidth="1"/>
    <col min="2310" max="2310" width="6.5" style="1" customWidth="1"/>
    <col min="2311" max="2311" width="11" style="1" customWidth="1"/>
    <col min="2312" max="2312" width="13.375" style="1" customWidth="1"/>
    <col min="2313" max="2313" width="26" style="1" customWidth="1"/>
    <col min="2314" max="2554" width="9" style="1"/>
    <col min="2555" max="2555" width="30.375" style="1" customWidth="1"/>
    <col min="2556" max="2556" width="5.25" style="1" customWidth="1"/>
    <col min="2557" max="2557" width="6.125" style="1" customWidth="1"/>
    <col min="2558" max="2558" width="6" style="1" customWidth="1"/>
    <col min="2559" max="2559" width="6.875" style="1" customWidth="1"/>
    <col min="2560" max="2560" width="9.25" style="1" customWidth="1"/>
    <col min="2561" max="2561" width="4.25" style="1" customWidth="1"/>
    <col min="2562" max="2562" width="5" style="1" customWidth="1"/>
    <col min="2563" max="2563" width="4.125" style="1" customWidth="1"/>
    <col min="2564" max="2564" width="4.5" style="1" customWidth="1"/>
    <col min="2565" max="2565" width="4.75" style="1" customWidth="1"/>
    <col min="2566" max="2566" width="6.5" style="1" customWidth="1"/>
    <col min="2567" max="2567" width="11" style="1" customWidth="1"/>
    <col min="2568" max="2568" width="13.375" style="1" customWidth="1"/>
    <col min="2569" max="2569" width="26" style="1" customWidth="1"/>
    <col min="2570" max="2810" width="9" style="1"/>
    <col min="2811" max="2811" width="30.375" style="1" customWidth="1"/>
    <col min="2812" max="2812" width="5.25" style="1" customWidth="1"/>
    <col min="2813" max="2813" width="6.125" style="1" customWidth="1"/>
    <col min="2814" max="2814" width="6" style="1" customWidth="1"/>
    <col min="2815" max="2815" width="6.875" style="1" customWidth="1"/>
    <col min="2816" max="2816" width="9.25" style="1" customWidth="1"/>
    <col min="2817" max="2817" width="4.25" style="1" customWidth="1"/>
    <col min="2818" max="2818" width="5" style="1" customWidth="1"/>
    <col min="2819" max="2819" width="4.125" style="1" customWidth="1"/>
    <col min="2820" max="2820" width="4.5" style="1" customWidth="1"/>
    <col min="2821" max="2821" width="4.75" style="1" customWidth="1"/>
    <col min="2822" max="2822" width="6.5" style="1" customWidth="1"/>
    <col min="2823" max="2823" width="11" style="1" customWidth="1"/>
    <col min="2824" max="2824" width="13.375" style="1" customWidth="1"/>
    <col min="2825" max="2825" width="26" style="1" customWidth="1"/>
    <col min="2826" max="3066" width="9" style="1"/>
    <col min="3067" max="3067" width="30.375" style="1" customWidth="1"/>
    <col min="3068" max="3068" width="5.25" style="1" customWidth="1"/>
    <col min="3069" max="3069" width="6.125" style="1" customWidth="1"/>
    <col min="3070" max="3070" width="6" style="1" customWidth="1"/>
    <col min="3071" max="3071" width="6.875" style="1" customWidth="1"/>
    <col min="3072" max="3072" width="9.25" style="1" customWidth="1"/>
    <col min="3073" max="3073" width="4.25" style="1" customWidth="1"/>
    <col min="3074" max="3074" width="5" style="1" customWidth="1"/>
    <col min="3075" max="3075" width="4.125" style="1" customWidth="1"/>
    <col min="3076" max="3076" width="4.5" style="1" customWidth="1"/>
    <col min="3077" max="3077" width="4.75" style="1" customWidth="1"/>
    <col min="3078" max="3078" width="6.5" style="1" customWidth="1"/>
    <col min="3079" max="3079" width="11" style="1" customWidth="1"/>
    <col min="3080" max="3080" width="13.375" style="1" customWidth="1"/>
    <col min="3081" max="3081" width="26" style="1" customWidth="1"/>
    <col min="3082" max="3322" width="9" style="1"/>
    <col min="3323" max="3323" width="30.375" style="1" customWidth="1"/>
    <col min="3324" max="3324" width="5.25" style="1" customWidth="1"/>
    <col min="3325" max="3325" width="6.125" style="1" customWidth="1"/>
    <col min="3326" max="3326" width="6" style="1" customWidth="1"/>
    <col min="3327" max="3327" width="6.875" style="1" customWidth="1"/>
    <col min="3328" max="3328" width="9.25" style="1" customWidth="1"/>
    <col min="3329" max="3329" width="4.25" style="1" customWidth="1"/>
    <col min="3330" max="3330" width="5" style="1" customWidth="1"/>
    <col min="3331" max="3331" width="4.125" style="1" customWidth="1"/>
    <col min="3332" max="3332" width="4.5" style="1" customWidth="1"/>
    <col min="3333" max="3333" width="4.75" style="1" customWidth="1"/>
    <col min="3334" max="3334" width="6.5" style="1" customWidth="1"/>
    <col min="3335" max="3335" width="11" style="1" customWidth="1"/>
    <col min="3336" max="3336" width="13.375" style="1" customWidth="1"/>
    <col min="3337" max="3337" width="26" style="1" customWidth="1"/>
    <col min="3338" max="3578" width="9" style="1"/>
    <col min="3579" max="3579" width="30.375" style="1" customWidth="1"/>
    <col min="3580" max="3580" width="5.25" style="1" customWidth="1"/>
    <col min="3581" max="3581" width="6.125" style="1" customWidth="1"/>
    <col min="3582" max="3582" width="6" style="1" customWidth="1"/>
    <col min="3583" max="3583" width="6.875" style="1" customWidth="1"/>
    <col min="3584" max="3584" width="9.25" style="1" customWidth="1"/>
    <col min="3585" max="3585" width="4.25" style="1" customWidth="1"/>
    <col min="3586" max="3586" width="5" style="1" customWidth="1"/>
    <col min="3587" max="3587" width="4.125" style="1" customWidth="1"/>
    <col min="3588" max="3588" width="4.5" style="1" customWidth="1"/>
    <col min="3589" max="3589" width="4.75" style="1" customWidth="1"/>
    <col min="3590" max="3590" width="6.5" style="1" customWidth="1"/>
    <col min="3591" max="3591" width="11" style="1" customWidth="1"/>
    <col min="3592" max="3592" width="13.375" style="1" customWidth="1"/>
    <col min="3593" max="3593" width="26" style="1" customWidth="1"/>
    <col min="3594" max="3834" width="9" style="1"/>
    <col min="3835" max="3835" width="30.375" style="1" customWidth="1"/>
    <col min="3836" max="3836" width="5.25" style="1" customWidth="1"/>
    <col min="3837" max="3837" width="6.125" style="1" customWidth="1"/>
    <col min="3838" max="3838" width="6" style="1" customWidth="1"/>
    <col min="3839" max="3839" width="6.875" style="1" customWidth="1"/>
    <col min="3840" max="3840" width="9.25" style="1" customWidth="1"/>
    <col min="3841" max="3841" width="4.25" style="1" customWidth="1"/>
    <col min="3842" max="3842" width="5" style="1" customWidth="1"/>
    <col min="3843" max="3843" width="4.125" style="1" customWidth="1"/>
    <col min="3844" max="3844" width="4.5" style="1" customWidth="1"/>
    <col min="3845" max="3845" width="4.75" style="1" customWidth="1"/>
    <col min="3846" max="3846" width="6.5" style="1" customWidth="1"/>
    <col min="3847" max="3847" width="11" style="1" customWidth="1"/>
    <col min="3848" max="3848" width="13.375" style="1" customWidth="1"/>
    <col min="3849" max="3849" width="26" style="1" customWidth="1"/>
    <col min="3850" max="4090" width="9" style="1"/>
    <col min="4091" max="4091" width="30.375" style="1" customWidth="1"/>
    <col min="4092" max="4092" width="5.25" style="1" customWidth="1"/>
    <col min="4093" max="4093" width="6.125" style="1" customWidth="1"/>
    <col min="4094" max="4094" width="6" style="1" customWidth="1"/>
    <col min="4095" max="4095" width="6.875" style="1" customWidth="1"/>
    <col min="4096" max="4096" width="9.25" style="1" customWidth="1"/>
    <col min="4097" max="4097" width="4.25" style="1" customWidth="1"/>
    <col min="4098" max="4098" width="5" style="1" customWidth="1"/>
    <col min="4099" max="4099" width="4.125" style="1" customWidth="1"/>
    <col min="4100" max="4100" width="4.5" style="1" customWidth="1"/>
    <col min="4101" max="4101" width="4.75" style="1" customWidth="1"/>
    <col min="4102" max="4102" width="6.5" style="1" customWidth="1"/>
    <col min="4103" max="4103" width="11" style="1" customWidth="1"/>
    <col min="4104" max="4104" width="13.375" style="1" customWidth="1"/>
    <col min="4105" max="4105" width="26" style="1" customWidth="1"/>
    <col min="4106" max="4346" width="9" style="1"/>
    <col min="4347" max="4347" width="30.375" style="1" customWidth="1"/>
    <col min="4348" max="4348" width="5.25" style="1" customWidth="1"/>
    <col min="4349" max="4349" width="6.125" style="1" customWidth="1"/>
    <col min="4350" max="4350" width="6" style="1" customWidth="1"/>
    <col min="4351" max="4351" width="6.875" style="1" customWidth="1"/>
    <col min="4352" max="4352" width="9.25" style="1" customWidth="1"/>
    <col min="4353" max="4353" width="4.25" style="1" customWidth="1"/>
    <col min="4354" max="4354" width="5" style="1" customWidth="1"/>
    <col min="4355" max="4355" width="4.125" style="1" customWidth="1"/>
    <col min="4356" max="4356" width="4.5" style="1" customWidth="1"/>
    <col min="4357" max="4357" width="4.75" style="1" customWidth="1"/>
    <col min="4358" max="4358" width="6.5" style="1" customWidth="1"/>
    <col min="4359" max="4359" width="11" style="1" customWidth="1"/>
    <col min="4360" max="4360" width="13.375" style="1" customWidth="1"/>
    <col min="4361" max="4361" width="26" style="1" customWidth="1"/>
    <col min="4362" max="4602" width="9" style="1"/>
    <col min="4603" max="4603" width="30.375" style="1" customWidth="1"/>
    <col min="4604" max="4604" width="5.25" style="1" customWidth="1"/>
    <col min="4605" max="4605" width="6.125" style="1" customWidth="1"/>
    <col min="4606" max="4606" width="6" style="1" customWidth="1"/>
    <col min="4607" max="4607" width="6.875" style="1" customWidth="1"/>
    <col min="4608" max="4608" width="9.25" style="1" customWidth="1"/>
    <col min="4609" max="4609" width="4.25" style="1" customWidth="1"/>
    <col min="4610" max="4610" width="5" style="1" customWidth="1"/>
    <col min="4611" max="4611" width="4.125" style="1" customWidth="1"/>
    <col min="4612" max="4612" width="4.5" style="1" customWidth="1"/>
    <col min="4613" max="4613" width="4.75" style="1" customWidth="1"/>
    <col min="4614" max="4614" width="6.5" style="1" customWidth="1"/>
    <col min="4615" max="4615" width="11" style="1" customWidth="1"/>
    <col min="4616" max="4616" width="13.375" style="1" customWidth="1"/>
    <col min="4617" max="4617" width="26" style="1" customWidth="1"/>
    <col min="4618" max="4858" width="9" style="1"/>
    <col min="4859" max="4859" width="30.375" style="1" customWidth="1"/>
    <col min="4860" max="4860" width="5.25" style="1" customWidth="1"/>
    <col min="4861" max="4861" width="6.125" style="1" customWidth="1"/>
    <col min="4862" max="4862" width="6" style="1" customWidth="1"/>
    <col min="4863" max="4863" width="6.875" style="1" customWidth="1"/>
    <col min="4864" max="4864" width="9.25" style="1" customWidth="1"/>
    <col min="4865" max="4865" width="4.25" style="1" customWidth="1"/>
    <col min="4866" max="4866" width="5" style="1" customWidth="1"/>
    <col min="4867" max="4867" width="4.125" style="1" customWidth="1"/>
    <col min="4868" max="4868" width="4.5" style="1" customWidth="1"/>
    <col min="4869" max="4869" width="4.75" style="1" customWidth="1"/>
    <col min="4870" max="4870" width="6.5" style="1" customWidth="1"/>
    <col min="4871" max="4871" width="11" style="1" customWidth="1"/>
    <col min="4872" max="4872" width="13.375" style="1" customWidth="1"/>
    <col min="4873" max="4873" width="26" style="1" customWidth="1"/>
    <col min="4874" max="5114" width="9" style="1"/>
    <col min="5115" max="5115" width="30.375" style="1" customWidth="1"/>
    <col min="5116" max="5116" width="5.25" style="1" customWidth="1"/>
    <col min="5117" max="5117" width="6.125" style="1" customWidth="1"/>
    <col min="5118" max="5118" width="6" style="1" customWidth="1"/>
    <col min="5119" max="5119" width="6.875" style="1" customWidth="1"/>
    <col min="5120" max="5120" width="9.25" style="1" customWidth="1"/>
    <col min="5121" max="5121" width="4.25" style="1" customWidth="1"/>
    <col min="5122" max="5122" width="5" style="1" customWidth="1"/>
    <col min="5123" max="5123" width="4.125" style="1" customWidth="1"/>
    <col min="5124" max="5124" width="4.5" style="1" customWidth="1"/>
    <col min="5125" max="5125" width="4.75" style="1" customWidth="1"/>
    <col min="5126" max="5126" width="6.5" style="1" customWidth="1"/>
    <col min="5127" max="5127" width="11" style="1" customWidth="1"/>
    <col min="5128" max="5128" width="13.375" style="1" customWidth="1"/>
    <col min="5129" max="5129" width="26" style="1" customWidth="1"/>
    <col min="5130" max="5370" width="9" style="1"/>
    <col min="5371" max="5371" width="30.375" style="1" customWidth="1"/>
    <col min="5372" max="5372" width="5.25" style="1" customWidth="1"/>
    <col min="5373" max="5373" width="6.125" style="1" customWidth="1"/>
    <col min="5374" max="5374" width="6" style="1" customWidth="1"/>
    <col min="5375" max="5375" width="6.875" style="1" customWidth="1"/>
    <col min="5376" max="5376" width="9.25" style="1" customWidth="1"/>
    <col min="5377" max="5377" width="4.25" style="1" customWidth="1"/>
    <col min="5378" max="5378" width="5" style="1" customWidth="1"/>
    <col min="5379" max="5379" width="4.125" style="1" customWidth="1"/>
    <col min="5380" max="5380" width="4.5" style="1" customWidth="1"/>
    <col min="5381" max="5381" width="4.75" style="1" customWidth="1"/>
    <col min="5382" max="5382" width="6.5" style="1" customWidth="1"/>
    <col min="5383" max="5383" width="11" style="1" customWidth="1"/>
    <col min="5384" max="5384" width="13.375" style="1" customWidth="1"/>
    <col min="5385" max="5385" width="26" style="1" customWidth="1"/>
    <col min="5386" max="5626" width="9" style="1"/>
    <col min="5627" max="5627" width="30.375" style="1" customWidth="1"/>
    <col min="5628" max="5628" width="5.25" style="1" customWidth="1"/>
    <col min="5629" max="5629" width="6.125" style="1" customWidth="1"/>
    <col min="5630" max="5630" width="6" style="1" customWidth="1"/>
    <col min="5631" max="5631" width="6.875" style="1" customWidth="1"/>
    <col min="5632" max="5632" width="9.25" style="1" customWidth="1"/>
    <col min="5633" max="5633" width="4.25" style="1" customWidth="1"/>
    <col min="5634" max="5634" width="5" style="1" customWidth="1"/>
    <col min="5635" max="5635" width="4.125" style="1" customWidth="1"/>
    <col min="5636" max="5636" width="4.5" style="1" customWidth="1"/>
    <col min="5637" max="5637" width="4.75" style="1" customWidth="1"/>
    <col min="5638" max="5638" width="6.5" style="1" customWidth="1"/>
    <col min="5639" max="5639" width="11" style="1" customWidth="1"/>
    <col min="5640" max="5640" width="13.375" style="1" customWidth="1"/>
    <col min="5641" max="5641" width="26" style="1" customWidth="1"/>
    <col min="5642" max="5882" width="9" style="1"/>
    <col min="5883" max="5883" width="30.375" style="1" customWidth="1"/>
    <col min="5884" max="5884" width="5.25" style="1" customWidth="1"/>
    <col min="5885" max="5885" width="6.125" style="1" customWidth="1"/>
    <col min="5886" max="5886" width="6" style="1" customWidth="1"/>
    <col min="5887" max="5887" width="6.875" style="1" customWidth="1"/>
    <col min="5888" max="5888" width="9.25" style="1" customWidth="1"/>
    <col min="5889" max="5889" width="4.25" style="1" customWidth="1"/>
    <col min="5890" max="5890" width="5" style="1" customWidth="1"/>
    <col min="5891" max="5891" width="4.125" style="1" customWidth="1"/>
    <col min="5892" max="5892" width="4.5" style="1" customWidth="1"/>
    <col min="5893" max="5893" width="4.75" style="1" customWidth="1"/>
    <col min="5894" max="5894" width="6.5" style="1" customWidth="1"/>
    <col min="5895" max="5895" width="11" style="1" customWidth="1"/>
    <col min="5896" max="5896" width="13.375" style="1" customWidth="1"/>
    <col min="5897" max="5897" width="26" style="1" customWidth="1"/>
    <col min="5898" max="6138" width="9" style="1"/>
    <col min="6139" max="6139" width="30.375" style="1" customWidth="1"/>
    <col min="6140" max="6140" width="5.25" style="1" customWidth="1"/>
    <col min="6141" max="6141" width="6.125" style="1" customWidth="1"/>
    <col min="6142" max="6142" width="6" style="1" customWidth="1"/>
    <col min="6143" max="6143" width="6.875" style="1" customWidth="1"/>
    <col min="6144" max="6144" width="9.25" style="1" customWidth="1"/>
    <col min="6145" max="6145" width="4.25" style="1" customWidth="1"/>
    <col min="6146" max="6146" width="5" style="1" customWidth="1"/>
    <col min="6147" max="6147" width="4.125" style="1" customWidth="1"/>
    <col min="6148" max="6148" width="4.5" style="1" customWidth="1"/>
    <col min="6149" max="6149" width="4.75" style="1" customWidth="1"/>
    <col min="6150" max="6150" width="6.5" style="1" customWidth="1"/>
    <col min="6151" max="6151" width="11" style="1" customWidth="1"/>
    <col min="6152" max="6152" width="13.375" style="1" customWidth="1"/>
    <col min="6153" max="6153" width="26" style="1" customWidth="1"/>
    <col min="6154" max="6394" width="9" style="1"/>
    <col min="6395" max="6395" width="30.375" style="1" customWidth="1"/>
    <col min="6396" max="6396" width="5.25" style="1" customWidth="1"/>
    <col min="6397" max="6397" width="6.125" style="1" customWidth="1"/>
    <col min="6398" max="6398" width="6" style="1" customWidth="1"/>
    <col min="6399" max="6399" width="6.875" style="1" customWidth="1"/>
    <col min="6400" max="6400" width="9.25" style="1" customWidth="1"/>
    <col min="6401" max="6401" width="4.25" style="1" customWidth="1"/>
    <col min="6402" max="6402" width="5" style="1" customWidth="1"/>
    <col min="6403" max="6403" width="4.125" style="1" customWidth="1"/>
    <col min="6404" max="6404" width="4.5" style="1" customWidth="1"/>
    <col min="6405" max="6405" width="4.75" style="1" customWidth="1"/>
    <col min="6406" max="6406" width="6.5" style="1" customWidth="1"/>
    <col min="6407" max="6407" width="11" style="1" customWidth="1"/>
    <col min="6408" max="6408" width="13.375" style="1" customWidth="1"/>
    <col min="6409" max="6409" width="26" style="1" customWidth="1"/>
    <col min="6410" max="6650" width="9" style="1"/>
    <col min="6651" max="6651" width="30.375" style="1" customWidth="1"/>
    <col min="6652" max="6652" width="5.25" style="1" customWidth="1"/>
    <col min="6653" max="6653" width="6.125" style="1" customWidth="1"/>
    <col min="6654" max="6654" width="6" style="1" customWidth="1"/>
    <col min="6655" max="6655" width="6.875" style="1" customWidth="1"/>
    <col min="6656" max="6656" width="9.25" style="1" customWidth="1"/>
    <col min="6657" max="6657" width="4.25" style="1" customWidth="1"/>
    <col min="6658" max="6658" width="5" style="1" customWidth="1"/>
    <col min="6659" max="6659" width="4.125" style="1" customWidth="1"/>
    <col min="6660" max="6660" width="4.5" style="1" customWidth="1"/>
    <col min="6661" max="6661" width="4.75" style="1" customWidth="1"/>
    <col min="6662" max="6662" width="6.5" style="1" customWidth="1"/>
    <col min="6663" max="6663" width="11" style="1" customWidth="1"/>
    <col min="6664" max="6664" width="13.375" style="1" customWidth="1"/>
    <col min="6665" max="6665" width="26" style="1" customWidth="1"/>
    <col min="6666" max="6906" width="9" style="1"/>
    <col min="6907" max="6907" width="30.375" style="1" customWidth="1"/>
    <col min="6908" max="6908" width="5.25" style="1" customWidth="1"/>
    <col min="6909" max="6909" width="6.125" style="1" customWidth="1"/>
    <col min="6910" max="6910" width="6" style="1" customWidth="1"/>
    <col min="6911" max="6911" width="6.875" style="1" customWidth="1"/>
    <col min="6912" max="6912" width="9.25" style="1" customWidth="1"/>
    <col min="6913" max="6913" width="4.25" style="1" customWidth="1"/>
    <col min="6914" max="6914" width="5" style="1" customWidth="1"/>
    <col min="6915" max="6915" width="4.125" style="1" customWidth="1"/>
    <col min="6916" max="6916" width="4.5" style="1" customWidth="1"/>
    <col min="6917" max="6917" width="4.75" style="1" customWidth="1"/>
    <col min="6918" max="6918" width="6.5" style="1" customWidth="1"/>
    <col min="6919" max="6919" width="11" style="1" customWidth="1"/>
    <col min="6920" max="6920" width="13.375" style="1" customWidth="1"/>
    <col min="6921" max="6921" width="26" style="1" customWidth="1"/>
    <col min="6922" max="7162" width="9" style="1"/>
    <col min="7163" max="7163" width="30.375" style="1" customWidth="1"/>
    <col min="7164" max="7164" width="5.25" style="1" customWidth="1"/>
    <col min="7165" max="7165" width="6.125" style="1" customWidth="1"/>
    <col min="7166" max="7166" width="6" style="1" customWidth="1"/>
    <col min="7167" max="7167" width="6.875" style="1" customWidth="1"/>
    <col min="7168" max="7168" width="9.25" style="1" customWidth="1"/>
    <col min="7169" max="7169" width="4.25" style="1" customWidth="1"/>
    <col min="7170" max="7170" width="5" style="1" customWidth="1"/>
    <col min="7171" max="7171" width="4.125" style="1" customWidth="1"/>
    <col min="7172" max="7172" width="4.5" style="1" customWidth="1"/>
    <col min="7173" max="7173" width="4.75" style="1" customWidth="1"/>
    <col min="7174" max="7174" width="6.5" style="1" customWidth="1"/>
    <col min="7175" max="7175" width="11" style="1" customWidth="1"/>
    <col min="7176" max="7176" width="13.375" style="1" customWidth="1"/>
    <col min="7177" max="7177" width="26" style="1" customWidth="1"/>
    <col min="7178" max="7418" width="9" style="1"/>
    <col min="7419" max="7419" width="30.375" style="1" customWidth="1"/>
    <col min="7420" max="7420" width="5.25" style="1" customWidth="1"/>
    <col min="7421" max="7421" width="6.125" style="1" customWidth="1"/>
    <col min="7422" max="7422" width="6" style="1" customWidth="1"/>
    <col min="7423" max="7423" width="6.875" style="1" customWidth="1"/>
    <col min="7424" max="7424" width="9.25" style="1" customWidth="1"/>
    <col min="7425" max="7425" width="4.25" style="1" customWidth="1"/>
    <col min="7426" max="7426" width="5" style="1" customWidth="1"/>
    <col min="7427" max="7427" width="4.125" style="1" customWidth="1"/>
    <col min="7428" max="7428" width="4.5" style="1" customWidth="1"/>
    <col min="7429" max="7429" width="4.75" style="1" customWidth="1"/>
    <col min="7430" max="7430" width="6.5" style="1" customWidth="1"/>
    <col min="7431" max="7431" width="11" style="1" customWidth="1"/>
    <col min="7432" max="7432" width="13.375" style="1" customWidth="1"/>
    <col min="7433" max="7433" width="26" style="1" customWidth="1"/>
    <col min="7434" max="7674" width="9" style="1"/>
    <col min="7675" max="7675" width="30.375" style="1" customWidth="1"/>
    <col min="7676" max="7676" width="5.25" style="1" customWidth="1"/>
    <col min="7677" max="7677" width="6.125" style="1" customWidth="1"/>
    <col min="7678" max="7678" width="6" style="1" customWidth="1"/>
    <col min="7679" max="7679" width="6.875" style="1" customWidth="1"/>
    <col min="7680" max="7680" width="9.25" style="1" customWidth="1"/>
    <col min="7681" max="7681" width="4.25" style="1" customWidth="1"/>
    <col min="7682" max="7682" width="5" style="1" customWidth="1"/>
    <col min="7683" max="7683" width="4.125" style="1" customWidth="1"/>
    <col min="7684" max="7684" width="4.5" style="1" customWidth="1"/>
    <col min="7685" max="7685" width="4.75" style="1" customWidth="1"/>
    <col min="7686" max="7686" width="6.5" style="1" customWidth="1"/>
    <col min="7687" max="7687" width="11" style="1" customWidth="1"/>
    <col min="7688" max="7688" width="13.375" style="1" customWidth="1"/>
    <col min="7689" max="7689" width="26" style="1" customWidth="1"/>
    <col min="7690" max="7930" width="9" style="1"/>
    <col min="7931" max="7931" width="30.375" style="1" customWidth="1"/>
    <col min="7932" max="7932" width="5.25" style="1" customWidth="1"/>
    <col min="7933" max="7933" width="6.125" style="1" customWidth="1"/>
    <col min="7934" max="7934" width="6" style="1" customWidth="1"/>
    <col min="7935" max="7935" width="6.875" style="1" customWidth="1"/>
    <col min="7936" max="7936" width="9.25" style="1" customWidth="1"/>
    <col min="7937" max="7937" width="4.25" style="1" customWidth="1"/>
    <col min="7938" max="7938" width="5" style="1" customWidth="1"/>
    <col min="7939" max="7939" width="4.125" style="1" customWidth="1"/>
    <col min="7940" max="7940" width="4.5" style="1" customWidth="1"/>
    <col min="7941" max="7941" width="4.75" style="1" customWidth="1"/>
    <col min="7942" max="7942" width="6.5" style="1" customWidth="1"/>
    <col min="7943" max="7943" width="11" style="1" customWidth="1"/>
    <col min="7944" max="7944" width="13.375" style="1" customWidth="1"/>
    <col min="7945" max="7945" width="26" style="1" customWidth="1"/>
    <col min="7946" max="8186" width="9" style="1"/>
    <col min="8187" max="8187" width="30.375" style="1" customWidth="1"/>
    <col min="8188" max="8188" width="5.25" style="1" customWidth="1"/>
    <col min="8189" max="8189" width="6.125" style="1" customWidth="1"/>
    <col min="8190" max="8190" width="6" style="1" customWidth="1"/>
    <col min="8191" max="8191" width="6.875" style="1" customWidth="1"/>
    <col min="8192" max="8192" width="9.25" style="1" customWidth="1"/>
    <col min="8193" max="8193" width="4.25" style="1" customWidth="1"/>
    <col min="8194" max="8194" width="5" style="1" customWidth="1"/>
    <col min="8195" max="8195" width="4.125" style="1" customWidth="1"/>
    <col min="8196" max="8196" width="4.5" style="1" customWidth="1"/>
    <col min="8197" max="8197" width="4.75" style="1" customWidth="1"/>
    <col min="8198" max="8198" width="6.5" style="1" customWidth="1"/>
    <col min="8199" max="8199" width="11" style="1" customWidth="1"/>
    <col min="8200" max="8200" width="13.375" style="1" customWidth="1"/>
    <col min="8201" max="8201" width="26" style="1" customWidth="1"/>
    <col min="8202" max="8442" width="9" style="1"/>
    <col min="8443" max="8443" width="30.375" style="1" customWidth="1"/>
    <col min="8444" max="8444" width="5.25" style="1" customWidth="1"/>
    <col min="8445" max="8445" width="6.125" style="1" customWidth="1"/>
    <col min="8446" max="8446" width="6" style="1" customWidth="1"/>
    <col min="8447" max="8447" width="6.875" style="1" customWidth="1"/>
    <col min="8448" max="8448" width="9.25" style="1" customWidth="1"/>
    <col min="8449" max="8449" width="4.25" style="1" customWidth="1"/>
    <col min="8450" max="8450" width="5" style="1" customWidth="1"/>
    <col min="8451" max="8451" width="4.125" style="1" customWidth="1"/>
    <col min="8452" max="8452" width="4.5" style="1" customWidth="1"/>
    <col min="8453" max="8453" width="4.75" style="1" customWidth="1"/>
    <col min="8454" max="8454" width="6.5" style="1" customWidth="1"/>
    <col min="8455" max="8455" width="11" style="1" customWidth="1"/>
    <col min="8456" max="8456" width="13.375" style="1" customWidth="1"/>
    <col min="8457" max="8457" width="26" style="1" customWidth="1"/>
    <col min="8458" max="8698" width="9" style="1"/>
    <col min="8699" max="8699" width="30.375" style="1" customWidth="1"/>
    <col min="8700" max="8700" width="5.25" style="1" customWidth="1"/>
    <col min="8701" max="8701" width="6.125" style="1" customWidth="1"/>
    <col min="8702" max="8702" width="6" style="1" customWidth="1"/>
    <col min="8703" max="8703" width="6.875" style="1" customWidth="1"/>
    <col min="8704" max="8704" width="9.25" style="1" customWidth="1"/>
    <col min="8705" max="8705" width="4.25" style="1" customWidth="1"/>
    <col min="8706" max="8706" width="5" style="1" customWidth="1"/>
    <col min="8707" max="8707" width="4.125" style="1" customWidth="1"/>
    <col min="8708" max="8708" width="4.5" style="1" customWidth="1"/>
    <col min="8709" max="8709" width="4.75" style="1" customWidth="1"/>
    <col min="8710" max="8710" width="6.5" style="1" customWidth="1"/>
    <col min="8711" max="8711" width="11" style="1" customWidth="1"/>
    <col min="8712" max="8712" width="13.375" style="1" customWidth="1"/>
    <col min="8713" max="8713" width="26" style="1" customWidth="1"/>
    <col min="8714" max="8954" width="9" style="1"/>
    <col min="8955" max="8955" width="30.375" style="1" customWidth="1"/>
    <col min="8956" max="8956" width="5.25" style="1" customWidth="1"/>
    <col min="8957" max="8957" width="6.125" style="1" customWidth="1"/>
    <col min="8958" max="8958" width="6" style="1" customWidth="1"/>
    <col min="8959" max="8959" width="6.875" style="1" customWidth="1"/>
    <col min="8960" max="8960" width="9.25" style="1" customWidth="1"/>
    <col min="8961" max="8961" width="4.25" style="1" customWidth="1"/>
    <col min="8962" max="8962" width="5" style="1" customWidth="1"/>
    <col min="8963" max="8963" width="4.125" style="1" customWidth="1"/>
    <col min="8964" max="8964" width="4.5" style="1" customWidth="1"/>
    <col min="8965" max="8965" width="4.75" style="1" customWidth="1"/>
    <col min="8966" max="8966" width="6.5" style="1" customWidth="1"/>
    <col min="8967" max="8967" width="11" style="1" customWidth="1"/>
    <col min="8968" max="8968" width="13.375" style="1" customWidth="1"/>
    <col min="8969" max="8969" width="26" style="1" customWidth="1"/>
    <col min="8970" max="9210" width="9" style="1"/>
    <col min="9211" max="9211" width="30.375" style="1" customWidth="1"/>
    <col min="9212" max="9212" width="5.25" style="1" customWidth="1"/>
    <col min="9213" max="9213" width="6.125" style="1" customWidth="1"/>
    <col min="9214" max="9214" width="6" style="1" customWidth="1"/>
    <col min="9215" max="9215" width="6.875" style="1" customWidth="1"/>
    <col min="9216" max="9216" width="9.25" style="1" customWidth="1"/>
    <col min="9217" max="9217" width="4.25" style="1" customWidth="1"/>
    <col min="9218" max="9218" width="5" style="1" customWidth="1"/>
    <col min="9219" max="9219" width="4.125" style="1" customWidth="1"/>
    <col min="9220" max="9220" width="4.5" style="1" customWidth="1"/>
    <col min="9221" max="9221" width="4.75" style="1" customWidth="1"/>
    <col min="9222" max="9222" width="6.5" style="1" customWidth="1"/>
    <col min="9223" max="9223" width="11" style="1" customWidth="1"/>
    <col min="9224" max="9224" width="13.375" style="1" customWidth="1"/>
    <col min="9225" max="9225" width="26" style="1" customWidth="1"/>
    <col min="9226" max="9466" width="9" style="1"/>
    <col min="9467" max="9467" width="30.375" style="1" customWidth="1"/>
    <col min="9468" max="9468" width="5.25" style="1" customWidth="1"/>
    <col min="9469" max="9469" width="6.125" style="1" customWidth="1"/>
    <col min="9470" max="9470" width="6" style="1" customWidth="1"/>
    <col min="9471" max="9471" width="6.875" style="1" customWidth="1"/>
    <col min="9472" max="9472" width="9.25" style="1" customWidth="1"/>
    <col min="9473" max="9473" width="4.25" style="1" customWidth="1"/>
    <col min="9474" max="9474" width="5" style="1" customWidth="1"/>
    <col min="9475" max="9475" width="4.125" style="1" customWidth="1"/>
    <col min="9476" max="9476" width="4.5" style="1" customWidth="1"/>
    <col min="9477" max="9477" width="4.75" style="1" customWidth="1"/>
    <col min="9478" max="9478" width="6.5" style="1" customWidth="1"/>
    <col min="9479" max="9479" width="11" style="1" customWidth="1"/>
    <col min="9480" max="9480" width="13.375" style="1" customWidth="1"/>
    <col min="9481" max="9481" width="26" style="1" customWidth="1"/>
    <col min="9482" max="9722" width="9" style="1"/>
    <col min="9723" max="9723" width="30.375" style="1" customWidth="1"/>
    <col min="9724" max="9724" width="5.25" style="1" customWidth="1"/>
    <col min="9725" max="9725" width="6.125" style="1" customWidth="1"/>
    <col min="9726" max="9726" width="6" style="1" customWidth="1"/>
    <col min="9727" max="9727" width="6.875" style="1" customWidth="1"/>
    <col min="9728" max="9728" width="9.25" style="1" customWidth="1"/>
    <col min="9729" max="9729" width="4.25" style="1" customWidth="1"/>
    <col min="9730" max="9730" width="5" style="1" customWidth="1"/>
    <col min="9731" max="9731" width="4.125" style="1" customWidth="1"/>
    <col min="9732" max="9732" width="4.5" style="1" customWidth="1"/>
    <col min="9733" max="9733" width="4.75" style="1" customWidth="1"/>
    <col min="9734" max="9734" width="6.5" style="1" customWidth="1"/>
    <col min="9735" max="9735" width="11" style="1" customWidth="1"/>
    <col min="9736" max="9736" width="13.375" style="1" customWidth="1"/>
    <col min="9737" max="9737" width="26" style="1" customWidth="1"/>
    <col min="9738" max="9978" width="9" style="1"/>
    <col min="9979" max="9979" width="30.375" style="1" customWidth="1"/>
    <col min="9980" max="9980" width="5.25" style="1" customWidth="1"/>
    <col min="9981" max="9981" width="6.125" style="1" customWidth="1"/>
    <col min="9982" max="9982" width="6" style="1" customWidth="1"/>
    <col min="9983" max="9983" width="6.875" style="1" customWidth="1"/>
    <col min="9984" max="9984" width="9.25" style="1" customWidth="1"/>
    <col min="9985" max="9985" width="4.25" style="1" customWidth="1"/>
    <col min="9986" max="9986" width="5" style="1" customWidth="1"/>
    <col min="9987" max="9987" width="4.125" style="1" customWidth="1"/>
    <col min="9988" max="9988" width="4.5" style="1" customWidth="1"/>
    <col min="9989" max="9989" width="4.75" style="1" customWidth="1"/>
    <col min="9990" max="9990" width="6.5" style="1" customWidth="1"/>
    <col min="9991" max="9991" width="11" style="1" customWidth="1"/>
    <col min="9992" max="9992" width="13.375" style="1" customWidth="1"/>
    <col min="9993" max="9993" width="26" style="1" customWidth="1"/>
    <col min="9994" max="10234" width="9" style="1"/>
    <col min="10235" max="10235" width="30.375" style="1" customWidth="1"/>
    <col min="10236" max="10236" width="5.25" style="1" customWidth="1"/>
    <col min="10237" max="10237" width="6.125" style="1" customWidth="1"/>
    <col min="10238" max="10238" width="6" style="1" customWidth="1"/>
    <col min="10239" max="10239" width="6.875" style="1" customWidth="1"/>
    <col min="10240" max="10240" width="9.25" style="1" customWidth="1"/>
    <col min="10241" max="10241" width="4.25" style="1" customWidth="1"/>
    <col min="10242" max="10242" width="5" style="1" customWidth="1"/>
    <col min="10243" max="10243" width="4.125" style="1" customWidth="1"/>
    <col min="10244" max="10244" width="4.5" style="1" customWidth="1"/>
    <col min="10245" max="10245" width="4.75" style="1" customWidth="1"/>
    <col min="10246" max="10246" width="6.5" style="1" customWidth="1"/>
    <col min="10247" max="10247" width="11" style="1" customWidth="1"/>
    <col min="10248" max="10248" width="13.375" style="1" customWidth="1"/>
    <col min="10249" max="10249" width="26" style="1" customWidth="1"/>
    <col min="10250" max="10490" width="9" style="1"/>
    <col min="10491" max="10491" width="30.375" style="1" customWidth="1"/>
    <col min="10492" max="10492" width="5.25" style="1" customWidth="1"/>
    <col min="10493" max="10493" width="6.125" style="1" customWidth="1"/>
    <col min="10494" max="10494" width="6" style="1" customWidth="1"/>
    <col min="10495" max="10495" width="6.875" style="1" customWidth="1"/>
    <col min="10496" max="10496" width="9.25" style="1" customWidth="1"/>
    <col min="10497" max="10497" width="4.25" style="1" customWidth="1"/>
    <col min="10498" max="10498" width="5" style="1" customWidth="1"/>
    <col min="10499" max="10499" width="4.125" style="1" customWidth="1"/>
    <col min="10500" max="10500" width="4.5" style="1" customWidth="1"/>
    <col min="10501" max="10501" width="4.75" style="1" customWidth="1"/>
    <col min="10502" max="10502" width="6.5" style="1" customWidth="1"/>
    <col min="10503" max="10503" width="11" style="1" customWidth="1"/>
    <col min="10504" max="10504" width="13.375" style="1" customWidth="1"/>
    <col min="10505" max="10505" width="26" style="1" customWidth="1"/>
    <col min="10506" max="10746" width="9" style="1"/>
    <col min="10747" max="10747" width="30.375" style="1" customWidth="1"/>
    <col min="10748" max="10748" width="5.25" style="1" customWidth="1"/>
    <col min="10749" max="10749" width="6.125" style="1" customWidth="1"/>
    <col min="10750" max="10750" width="6" style="1" customWidth="1"/>
    <col min="10751" max="10751" width="6.875" style="1" customWidth="1"/>
    <col min="10752" max="10752" width="9.25" style="1" customWidth="1"/>
    <col min="10753" max="10753" width="4.25" style="1" customWidth="1"/>
    <col min="10754" max="10754" width="5" style="1" customWidth="1"/>
    <col min="10755" max="10755" width="4.125" style="1" customWidth="1"/>
    <col min="10756" max="10756" width="4.5" style="1" customWidth="1"/>
    <col min="10757" max="10757" width="4.75" style="1" customWidth="1"/>
    <col min="10758" max="10758" width="6.5" style="1" customWidth="1"/>
    <col min="10759" max="10759" width="11" style="1" customWidth="1"/>
    <col min="10760" max="10760" width="13.375" style="1" customWidth="1"/>
    <col min="10761" max="10761" width="26" style="1" customWidth="1"/>
    <col min="10762" max="11002" width="9" style="1"/>
    <col min="11003" max="11003" width="30.375" style="1" customWidth="1"/>
    <col min="11004" max="11004" width="5.25" style="1" customWidth="1"/>
    <col min="11005" max="11005" width="6.125" style="1" customWidth="1"/>
    <col min="11006" max="11006" width="6" style="1" customWidth="1"/>
    <col min="11007" max="11007" width="6.875" style="1" customWidth="1"/>
    <col min="11008" max="11008" width="9.25" style="1" customWidth="1"/>
    <col min="11009" max="11009" width="4.25" style="1" customWidth="1"/>
    <col min="11010" max="11010" width="5" style="1" customWidth="1"/>
    <col min="11011" max="11011" width="4.125" style="1" customWidth="1"/>
    <col min="11012" max="11012" width="4.5" style="1" customWidth="1"/>
    <col min="11013" max="11013" width="4.75" style="1" customWidth="1"/>
    <col min="11014" max="11014" width="6.5" style="1" customWidth="1"/>
    <col min="11015" max="11015" width="11" style="1" customWidth="1"/>
    <col min="11016" max="11016" width="13.375" style="1" customWidth="1"/>
    <col min="11017" max="11017" width="26" style="1" customWidth="1"/>
    <col min="11018" max="11258" width="9" style="1"/>
    <col min="11259" max="11259" width="30.375" style="1" customWidth="1"/>
    <col min="11260" max="11260" width="5.25" style="1" customWidth="1"/>
    <col min="11261" max="11261" width="6.125" style="1" customWidth="1"/>
    <col min="11262" max="11262" width="6" style="1" customWidth="1"/>
    <col min="11263" max="11263" width="6.875" style="1" customWidth="1"/>
    <col min="11264" max="11264" width="9.25" style="1" customWidth="1"/>
    <col min="11265" max="11265" width="4.25" style="1" customWidth="1"/>
    <col min="11266" max="11266" width="5" style="1" customWidth="1"/>
    <col min="11267" max="11267" width="4.125" style="1" customWidth="1"/>
    <col min="11268" max="11268" width="4.5" style="1" customWidth="1"/>
    <col min="11269" max="11269" width="4.75" style="1" customWidth="1"/>
    <col min="11270" max="11270" width="6.5" style="1" customWidth="1"/>
    <col min="11271" max="11271" width="11" style="1" customWidth="1"/>
    <col min="11272" max="11272" width="13.375" style="1" customWidth="1"/>
    <col min="11273" max="11273" width="26" style="1" customWidth="1"/>
    <col min="11274" max="11514" width="9" style="1"/>
    <col min="11515" max="11515" width="30.375" style="1" customWidth="1"/>
    <col min="11516" max="11516" width="5.25" style="1" customWidth="1"/>
    <col min="11517" max="11517" width="6.125" style="1" customWidth="1"/>
    <col min="11518" max="11518" width="6" style="1" customWidth="1"/>
    <col min="11519" max="11519" width="6.875" style="1" customWidth="1"/>
    <col min="11520" max="11520" width="9.25" style="1" customWidth="1"/>
    <col min="11521" max="11521" width="4.25" style="1" customWidth="1"/>
    <col min="11522" max="11522" width="5" style="1" customWidth="1"/>
    <col min="11523" max="11523" width="4.125" style="1" customWidth="1"/>
    <col min="11524" max="11524" width="4.5" style="1" customWidth="1"/>
    <col min="11525" max="11525" width="4.75" style="1" customWidth="1"/>
    <col min="11526" max="11526" width="6.5" style="1" customWidth="1"/>
    <col min="11527" max="11527" width="11" style="1" customWidth="1"/>
    <col min="11528" max="11528" width="13.375" style="1" customWidth="1"/>
    <col min="11529" max="11529" width="26" style="1" customWidth="1"/>
    <col min="11530" max="11770" width="9" style="1"/>
    <col min="11771" max="11771" width="30.375" style="1" customWidth="1"/>
    <col min="11772" max="11772" width="5.25" style="1" customWidth="1"/>
    <col min="11773" max="11773" width="6.125" style="1" customWidth="1"/>
    <col min="11774" max="11774" width="6" style="1" customWidth="1"/>
    <col min="11775" max="11775" width="6.875" style="1" customWidth="1"/>
    <col min="11776" max="11776" width="9.25" style="1" customWidth="1"/>
    <col min="11777" max="11777" width="4.25" style="1" customWidth="1"/>
    <col min="11778" max="11778" width="5" style="1" customWidth="1"/>
    <col min="11779" max="11779" width="4.125" style="1" customWidth="1"/>
    <col min="11780" max="11780" width="4.5" style="1" customWidth="1"/>
    <col min="11781" max="11781" width="4.75" style="1" customWidth="1"/>
    <col min="11782" max="11782" width="6.5" style="1" customWidth="1"/>
    <col min="11783" max="11783" width="11" style="1" customWidth="1"/>
    <col min="11784" max="11784" width="13.375" style="1" customWidth="1"/>
    <col min="11785" max="11785" width="26" style="1" customWidth="1"/>
    <col min="11786" max="12026" width="9" style="1"/>
    <col min="12027" max="12027" width="30.375" style="1" customWidth="1"/>
    <col min="12028" max="12028" width="5.25" style="1" customWidth="1"/>
    <col min="12029" max="12029" width="6.125" style="1" customWidth="1"/>
    <col min="12030" max="12030" width="6" style="1" customWidth="1"/>
    <col min="12031" max="12031" width="6.875" style="1" customWidth="1"/>
    <col min="12032" max="12032" width="9.25" style="1" customWidth="1"/>
    <col min="12033" max="12033" width="4.25" style="1" customWidth="1"/>
    <col min="12034" max="12034" width="5" style="1" customWidth="1"/>
    <col min="12035" max="12035" width="4.125" style="1" customWidth="1"/>
    <col min="12036" max="12036" width="4.5" style="1" customWidth="1"/>
    <col min="12037" max="12037" width="4.75" style="1" customWidth="1"/>
    <col min="12038" max="12038" width="6.5" style="1" customWidth="1"/>
    <col min="12039" max="12039" width="11" style="1" customWidth="1"/>
    <col min="12040" max="12040" width="13.375" style="1" customWidth="1"/>
    <col min="12041" max="12041" width="26" style="1" customWidth="1"/>
    <col min="12042" max="12282" width="9" style="1"/>
    <col min="12283" max="12283" width="30.375" style="1" customWidth="1"/>
    <col min="12284" max="12284" width="5.25" style="1" customWidth="1"/>
    <col min="12285" max="12285" width="6.125" style="1" customWidth="1"/>
    <col min="12286" max="12286" width="6" style="1" customWidth="1"/>
    <col min="12287" max="12287" width="6.875" style="1" customWidth="1"/>
    <col min="12288" max="12288" width="9.25" style="1" customWidth="1"/>
    <col min="12289" max="12289" width="4.25" style="1" customWidth="1"/>
    <col min="12290" max="12290" width="5" style="1" customWidth="1"/>
    <col min="12291" max="12291" width="4.125" style="1" customWidth="1"/>
    <col min="12292" max="12292" width="4.5" style="1" customWidth="1"/>
    <col min="12293" max="12293" width="4.75" style="1" customWidth="1"/>
    <col min="12294" max="12294" width="6.5" style="1" customWidth="1"/>
    <col min="12295" max="12295" width="11" style="1" customWidth="1"/>
    <col min="12296" max="12296" width="13.375" style="1" customWidth="1"/>
    <col min="12297" max="12297" width="26" style="1" customWidth="1"/>
    <col min="12298" max="12538" width="9" style="1"/>
    <col min="12539" max="12539" width="30.375" style="1" customWidth="1"/>
    <col min="12540" max="12540" width="5.25" style="1" customWidth="1"/>
    <col min="12541" max="12541" width="6.125" style="1" customWidth="1"/>
    <col min="12542" max="12542" width="6" style="1" customWidth="1"/>
    <col min="12543" max="12543" width="6.875" style="1" customWidth="1"/>
    <col min="12544" max="12544" width="9.25" style="1" customWidth="1"/>
    <col min="12545" max="12545" width="4.25" style="1" customWidth="1"/>
    <col min="12546" max="12546" width="5" style="1" customWidth="1"/>
    <col min="12547" max="12547" width="4.125" style="1" customWidth="1"/>
    <col min="12548" max="12548" width="4.5" style="1" customWidth="1"/>
    <col min="12549" max="12549" width="4.75" style="1" customWidth="1"/>
    <col min="12550" max="12550" width="6.5" style="1" customWidth="1"/>
    <col min="12551" max="12551" width="11" style="1" customWidth="1"/>
    <col min="12552" max="12552" width="13.375" style="1" customWidth="1"/>
    <col min="12553" max="12553" width="26" style="1" customWidth="1"/>
    <col min="12554" max="12794" width="9" style="1"/>
    <col min="12795" max="12795" width="30.375" style="1" customWidth="1"/>
    <col min="12796" max="12796" width="5.25" style="1" customWidth="1"/>
    <col min="12797" max="12797" width="6.125" style="1" customWidth="1"/>
    <col min="12798" max="12798" width="6" style="1" customWidth="1"/>
    <col min="12799" max="12799" width="6.875" style="1" customWidth="1"/>
    <col min="12800" max="12800" width="9.25" style="1" customWidth="1"/>
    <col min="12801" max="12801" width="4.25" style="1" customWidth="1"/>
    <col min="12802" max="12802" width="5" style="1" customWidth="1"/>
    <col min="12803" max="12803" width="4.125" style="1" customWidth="1"/>
    <col min="12804" max="12804" width="4.5" style="1" customWidth="1"/>
    <col min="12805" max="12805" width="4.75" style="1" customWidth="1"/>
    <col min="12806" max="12806" width="6.5" style="1" customWidth="1"/>
    <col min="12807" max="12807" width="11" style="1" customWidth="1"/>
    <col min="12808" max="12808" width="13.375" style="1" customWidth="1"/>
    <col min="12809" max="12809" width="26" style="1" customWidth="1"/>
    <col min="12810" max="13050" width="9" style="1"/>
    <col min="13051" max="13051" width="30.375" style="1" customWidth="1"/>
    <col min="13052" max="13052" width="5.25" style="1" customWidth="1"/>
    <col min="13053" max="13053" width="6.125" style="1" customWidth="1"/>
    <col min="13054" max="13054" width="6" style="1" customWidth="1"/>
    <col min="13055" max="13055" width="6.875" style="1" customWidth="1"/>
    <col min="13056" max="13056" width="9.25" style="1" customWidth="1"/>
    <col min="13057" max="13057" width="4.25" style="1" customWidth="1"/>
    <col min="13058" max="13058" width="5" style="1" customWidth="1"/>
    <col min="13059" max="13059" width="4.125" style="1" customWidth="1"/>
    <col min="13060" max="13060" width="4.5" style="1" customWidth="1"/>
    <col min="13061" max="13061" width="4.75" style="1" customWidth="1"/>
    <col min="13062" max="13062" width="6.5" style="1" customWidth="1"/>
    <col min="13063" max="13063" width="11" style="1" customWidth="1"/>
    <col min="13064" max="13064" width="13.375" style="1" customWidth="1"/>
    <col min="13065" max="13065" width="26" style="1" customWidth="1"/>
    <col min="13066" max="13306" width="9" style="1"/>
    <col min="13307" max="13307" width="30.375" style="1" customWidth="1"/>
    <col min="13308" max="13308" width="5.25" style="1" customWidth="1"/>
    <col min="13309" max="13309" width="6.125" style="1" customWidth="1"/>
    <col min="13310" max="13310" width="6" style="1" customWidth="1"/>
    <col min="13311" max="13311" width="6.875" style="1" customWidth="1"/>
    <col min="13312" max="13312" width="9.25" style="1" customWidth="1"/>
    <col min="13313" max="13313" width="4.25" style="1" customWidth="1"/>
    <col min="13314" max="13314" width="5" style="1" customWidth="1"/>
    <col min="13315" max="13315" width="4.125" style="1" customWidth="1"/>
    <col min="13316" max="13316" width="4.5" style="1" customWidth="1"/>
    <col min="13317" max="13317" width="4.75" style="1" customWidth="1"/>
    <col min="13318" max="13318" width="6.5" style="1" customWidth="1"/>
    <col min="13319" max="13319" width="11" style="1" customWidth="1"/>
    <col min="13320" max="13320" width="13.375" style="1" customWidth="1"/>
    <col min="13321" max="13321" width="26" style="1" customWidth="1"/>
    <col min="13322" max="13562" width="9" style="1"/>
    <col min="13563" max="13563" width="30.375" style="1" customWidth="1"/>
    <col min="13564" max="13564" width="5.25" style="1" customWidth="1"/>
    <col min="13565" max="13565" width="6.125" style="1" customWidth="1"/>
    <col min="13566" max="13566" width="6" style="1" customWidth="1"/>
    <col min="13567" max="13567" width="6.875" style="1" customWidth="1"/>
    <col min="13568" max="13568" width="9.25" style="1" customWidth="1"/>
    <col min="13569" max="13569" width="4.25" style="1" customWidth="1"/>
    <col min="13570" max="13570" width="5" style="1" customWidth="1"/>
    <col min="13571" max="13571" width="4.125" style="1" customWidth="1"/>
    <col min="13572" max="13572" width="4.5" style="1" customWidth="1"/>
    <col min="13573" max="13573" width="4.75" style="1" customWidth="1"/>
    <col min="13574" max="13574" width="6.5" style="1" customWidth="1"/>
    <col min="13575" max="13575" width="11" style="1" customWidth="1"/>
    <col min="13576" max="13576" width="13.375" style="1" customWidth="1"/>
    <col min="13577" max="13577" width="26" style="1" customWidth="1"/>
    <col min="13578" max="13818" width="9" style="1"/>
    <col min="13819" max="13819" width="30.375" style="1" customWidth="1"/>
    <col min="13820" max="13820" width="5.25" style="1" customWidth="1"/>
    <col min="13821" max="13821" width="6.125" style="1" customWidth="1"/>
    <col min="13822" max="13822" width="6" style="1" customWidth="1"/>
    <col min="13823" max="13823" width="6.875" style="1" customWidth="1"/>
    <col min="13824" max="13824" width="9.25" style="1" customWidth="1"/>
    <col min="13825" max="13825" width="4.25" style="1" customWidth="1"/>
    <col min="13826" max="13826" width="5" style="1" customWidth="1"/>
    <col min="13827" max="13827" width="4.125" style="1" customWidth="1"/>
    <col min="13828" max="13828" width="4.5" style="1" customWidth="1"/>
    <col min="13829" max="13829" width="4.75" style="1" customWidth="1"/>
    <col min="13830" max="13830" width="6.5" style="1" customWidth="1"/>
    <col min="13831" max="13831" width="11" style="1" customWidth="1"/>
    <col min="13832" max="13832" width="13.375" style="1" customWidth="1"/>
    <col min="13833" max="13833" width="26" style="1" customWidth="1"/>
    <col min="13834" max="14074" width="9" style="1"/>
    <col min="14075" max="14075" width="30.375" style="1" customWidth="1"/>
    <col min="14076" max="14076" width="5.25" style="1" customWidth="1"/>
    <col min="14077" max="14077" width="6.125" style="1" customWidth="1"/>
    <col min="14078" max="14078" width="6" style="1" customWidth="1"/>
    <col min="14079" max="14079" width="6.875" style="1" customWidth="1"/>
    <col min="14080" max="14080" width="9.25" style="1" customWidth="1"/>
    <col min="14081" max="14081" width="4.25" style="1" customWidth="1"/>
    <col min="14082" max="14082" width="5" style="1" customWidth="1"/>
    <col min="14083" max="14083" width="4.125" style="1" customWidth="1"/>
    <col min="14084" max="14084" width="4.5" style="1" customWidth="1"/>
    <col min="14085" max="14085" width="4.75" style="1" customWidth="1"/>
    <col min="14086" max="14086" width="6.5" style="1" customWidth="1"/>
    <col min="14087" max="14087" width="11" style="1" customWidth="1"/>
    <col min="14088" max="14088" width="13.375" style="1" customWidth="1"/>
    <col min="14089" max="14089" width="26" style="1" customWidth="1"/>
    <col min="14090" max="14330" width="9" style="1"/>
    <col min="14331" max="14331" width="30.375" style="1" customWidth="1"/>
    <col min="14332" max="14332" width="5.25" style="1" customWidth="1"/>
    <col min="14333" max="14333" width="6.125" style="1" customWidth="1"/>
    <col min="14334" max="14334" width="6" style="1" customWidth="1"/>
    <col min="14335" max="14335" width="6.875" style="1" customWidth="1"/>
    <col min="14336" max="14336" width="9.25" style="1" customWidth="1"/>
    <col min="14337" max="14337" width="4.25" style="1" customWidth="1"/>
    <col min="14338" max="14338" width="5" style="1" customWidth="1"/>
    <col min="14339" max="14339" width="4.125" style="1" customWidth="1"/>
    <col min="14340" max="14340" width="4.5" style="1" customWidth="1"/>
    <col min="14341" max="14341" width="4.75" style="1" customWidth="1"/>
    <col min="14342" max="14342" width="6.5" style="1" customWidth="1"/>
    <col min="14343" max="14343" width="11" style="1" customWidth="1"/>
    <col min="14344" max="14344" width="13.375" style="1" customWidth="1"/>
    <col min="14345" max="14345" width="26" style="1" customWidth="1"/>
    <col min="14346" max="14586" width="9" style="1"/>
    <col min="14587" max="14587" width="30.375" style="1" customWidth="1"/>
    <col min="14588" max="14588" width="5.25" style="1" customWidth="1"/>
    <col min="14589" max="14589" width="6.125" style="1" customWidth="1"/>
    <col min="14590" max="14590" width="6" style="1" customWidth="1"/>
    <col min="14591" max="14591" width="6.875" style="1" customWidth="1"/>
    <col min="14592" max="14592" width="9.25" style="1" customWidth="1"/>
    <col min="14593" max="14593" width="4.25" style="1" customWidth="1"/>
    <col min="14594" max="14594" width="5" style="1" customWidth="1"/>
    <col min="14595" max="14595" width="4.125" style="1" customWidth="1"/>
    <col min="14596" max="14596" width="4.5" style="1" customWidth="1"/>
    <col min="14597" max="14597" width="4.75" style="1" customWidth="1"/>
    <col min="14598" max="14598" width="6.5" style="1" customWidth="1"/>
    <col min="14599" max="14599" width="11" style="1" customWidth="1"/>
    <col min="14600" max="14600" width="13.375" style="1" customWidth="1"/>
    <col min="14601" max="14601" width="26" style="1" customWidth="1"/>
    <col min="14602" max="14842" width="9" style="1"/>
    <col min="14843" max="14843" width="30.375" style="1" customWidth="1"/>
    <col min="14844" max="14844" width="5.25" style="1" customWidth="1"/>
    <col min="14845" max="14845" width="6.125" style="1" customWidth="1"/>
    <col min="14846" max="14846" width="6" style="1" customWidth="1"/>
    <col min="14847" max="14847" width="6.875" style="1" customWidth="1"/>
    <col min="14848" max="14848" width="9.25" style="1" customWidth="1"/>
    <col min="14849" max="14849" width="4.25" style="1" customWidth="1"/>
    <col min="14850" max="14850" width="5" style="1" customWidth="1"/>
    <col min="14851" max="14851" width="4.125" style="1" customWidth="1"/>
    <col min="14852" max="14852" width="4.5" style="1" customWidth="1"/>
    <col min="14853" max="14853" width="4.75" style="1" customWidth="1"/>
    <col min="14854" max="14854" width="6.5" style="1" customWidth="1"/>
    <col min="14855" max="14855" width="11" style="1" customWidth="1"/>
    <col min="14856" max="14856" width="13.375" style="1" customWidth="1"/>
    <col min="14857" max="14857" width="26" style="1" customWidth="1"/>
    <col min="14858" max="15098" width="9" style="1"/>
    <col min="15099" max="15099" width="30.375" style="1" customWidth="1"/>
    <col min="15100" max="15100" width="5.25" style="1" customWidth="1"/>
    <col min="15101" max="15101" width="6.125" style="1" customWidth="1"/>
    <col min="15102" max="15102" width="6" style="1" customWidth="1"/>
    <col min="15103" max="15103" width="6.875" style="1" customWidth="1"/>
    <col min="15104" max="15104" width="9.25" style="1" customWidth="1"/>
    <col min="15105" max="15105" width="4.25" style="1" customWidth="1"/>
    <col min="15106" max="15106" width="5" style="1" customWidth="1"/>
    <col min="15107" max="15107" width="4.125" style="1" customWidth="1"/>
    <col min="15108" max="15108" width="4.5" style="1" customWidth="1"/>
    <col min="15109" max="15109" width="4.75" style="1" customWidth="1"/>
    <col min="15110" max="15110" width="6.5" style="1" customWidth="1"/>
    <col min="15111" max="15111" width="11" style="1" customWidth="1"/>
    <col min="15112" max="15112" width="13.375" style="1" customWidth="1"/>
    <col min="15113" max="15113" width="26" style="1" customWidth="1"/>
    <col min="15114" max="15354" width="9" style="1"/>
    <col min="15355" max="15355" width="30.375" style="1" customWidth="1"/>
    <col min="15356" max="15356" width="5.25" style="1" customWidth="1"/>
    <col min="15357" max="15357" width="6.125" style="1" customWidth="1"/>
    <col min="15358" max="15358" width="6" style="1" customWidth="1"/>
    <col min="15359" max="15359" width="6.875" style="1" customWidth="1"/>
    <col min="15360" max="15360" width="9.25" style="1" customWidth="1"/>
    <col min="15361" max="15361" width="4.25" style="1" customWidth="1"/>
    <col min="15362" max="15362" width="5" style="1" customWidth="1"/>
    <col min="15363" max="15363" width="4.125" style="1" customWidth="1"/>
    <col min="15364" max="15364" width="4.5" style="1" customWidth="1"/>
    <col min="15365" max="15365" width="4.75" style="1" customWidth="1"/>
    <col min="15366" max="15366" width="6.5" style="1" customWidth="1"/>
    <col min="15367" max="15367" width="11" style="1" customWidth="1"/>
    <col min="15368" max="15368" width="13.375" style="1" customWidth="1"/>
    <col min="15369" max="15369" width="26" style="1" customWidth="1"/>
    <col min="15370" max="15610" width="9" style="1"/>
    <col min="15611" max="15611" width="30.375" style="1" customWidth="1"/>
    <col min="15612" max="15612" width="5.25" style="1" customWidth="1"/>
    <col min="15613" max="15613" width="6.125" style="1" customWidth="1"/>
    <col min="15614" max="15614" width="6" style="1" customWidth="1"/>
    <col min="15615" max="15615" width="6.875" style="1" customWidth="1"/>
    <col min="15616" max="15616" width="9.25" style="1" customWidth="1"/>
    <col min="15617" max="15617" width="4.25" style="1" customWidth="1"/>
    <col min="15618" max="15618" width="5" style="1" customWidth="1"/>
    <col min="15619" max="15619" width="4.125" style="1" customWidth="1"/>
    <col min="15620" max="15620" width="4.5" style="1" customWidth="1"/>
    <col min="15621" max="15621" width="4.75" style="1" customWidth="1"/>
    <col min="15622" max="15622" width="6.5" style="1" customWidth="1"/>
    <col min="15623" max="15623" width="11" style="1" customWidth="1"/>
    <col min="15624" max="15624" width="13.375" style="1" customWidth="1"/>
    <col min="15625" max="15625" width="26" style="1" customWidth="1"/>
    <col min="15626" max="15866" width="9" style="1"/>
    <col min="15867" max="15867" width="30.375" style="1" customWidth="1"/>
    <col min="15868" max="15868" width="5.25" style="1" customWidth="1"/>
    <col min="15869" max="15869" width="6.125" style="1" customWidth="1"/>
    <col min="15870" max="15870" width="6" style="1" customWidth="1"/>
    <col min="15871" max="15871" width="6.875" style="1" customWidth="1"/>
    <col min="15872" max="15872" width="9.25" style="1" customWidth="1"/>
    <col min="15873" max="15873" width="4.25" style="1" customWidth="1"/>
    <col min="15874" max="15874" width="5" style="1" customWidth="1"/>
    <col min="15875" max="15875" width="4.125" style="1" customWidth="1"/>
    <col min="15876" max="15876" width="4.5" style="1" customWidth="1"/>
    <col min="15877" max="15877" width="4.75" style="1" customWidth="1"/>
    <col min="15878" max="15878" width="6.5" style="1" customWidth="1"/>
    <col min="15879" max="15879" width="11" style="1" customWidth="1"/>
    <col min="15880" max="15880" width="13.375" style="1" customWidth="1"/>
    <col min="15881" max="15881" width="26" style="1" customWidth="1"/>
    <col min="15882" max="16122" width="9" style="1"/>
    <col min="16123" max="16123" width="30.375" style="1" customWidth="1"/>
    <col min="16124" max="16124" width="5.25" style="1" customWidth="1"/>
    <col min="16125" max="16125" width="6.125" style="1" customWidth="1"/>
    <col min="16126" max="16126" width="6" style="1" customWidth="1"/>
    <col min="16127" max="16127" width="6.875" style="1" customWidth="1"/>
    <col min="16128" max="16128" width="9.25" style="1" customWidth="1"/>
    <col min="16129" max="16129" width="4.25" style="1" customWidth="1"/>
    <col min="16130" max="16130" width="5" style="1" customWidth="1"/>
    <col min="16131" max="16131" width="4.125" style="1" customWidth="1"/>
    <col min="16132" max="16132" width="4.5" style="1" customWidth="1"/>
    <col min="16133" max="16133" width="4.75" style="1" customWidth="1"/>
    <col min="16134" max="16134" width="6.5" style="1" customWidth="1"/>
    <col min="16135" max="16135" width="11" style="1" customWidth="1"/>
    <col min="16136" max="16136" width="13.375" style="1" customWidth="1"/>
    <col min="16137" max="16137" width="26" style="1" customWidth="1"/>
    <col min="16138" max="16384" width="9" style="1"/>
  </cols>
  <sheetData>
    <row r="1" spans="1:11" ht="19.5" thickBot="1" x14ac:dyDescent="0.5">
      <c r="K1" s="758">
        <f>K5+K37+K32</f>
        <v>88000000</v>
      </c>
    </row>
    <row r="2" spans="1:11" s="617" customFormat="1" ht="22.5" customHeight="1" x14ac:dyDescent="0.25">
      <c r="A2" s="886" t="s">
        <v>189</v>
      </c>
      <c r="B2" s="888" t="s">
        <v>1288</v>
      </c>
      <c r="C2" s="653"/>
      <c r="D2" s="649"/>
      <c r="E2" s="649"/>
      <c r="F2" s="649"/>
      <c r="G2" s="650" t="s">
        <v>340</v>
      </c>
      <c r="H2" s="650"/>
      <c r="I2" s="650"/>
      <c r="J2" s="655"/>
      <c r="K2" s="890" t="s">
        <v>18</v>
      </c>
    </row>
    <row r="3" spans="1:11" s="617" customFormat="1" ht="17.25" customHeight="1" thickBot="1" x14ac:dyDescent="0.3">
      <c r="A3" s="887"/>
      <c r="B3" s="889"/>
      <c r="C3" s="654"/>
      <c r="D3" s="651" t="s">
        <v>942</v>
      </c>
      <c r="E3" s="651" t="s">
        <v>943</v>
      </c>
      <c r="F3" s="651" t="s">
        <v>944</v>
      </c>
      <c r="G3" s="652" t="s">
        <v>893</v>
      </c>
      <c r="H3" s="652"/>
      <c r="I3" s="652"/>
      <c r="J3" s="656"/>
      <c r="K3" s="891"/>
    </row>
    <row r="4" spans="1:11" ht="17.25" customHeight="1" x14ac:dyDescent="0.45">
      <c r="A4" s="496">
        <v>1</v>
      </c>
      <c r="B4" s="717" t="s">
        <v>338</v>
      </c>
      <c r="C4" s="706"/>
      <c r="D4" s="148"/>
      <c r="E4" s="148"/>
      <c r="F4" s="148"/>
      <c r="G4" s="149"/>
      <c r="H4" s="149"/>
      <c r="I4" s="149"/>
      <c r="J4" s="657"/>
      <c r="K4" s="759">
        <f>SUM(K5+K32+K39+K91+K217+K256+K299+K322+K382)</f>
        <v>88000000</v>
      </c>
    </row>
    <row r="5" spans="1:11" ht="17.25" customHeight="1" x14ac:dyDescent="0.45">
      <c r="A5" s="741"/>
      <c r="B5" s="718" t="s">
        <v>195</v>
      </c>
      <c r="C5" s="630"/>
      <c r="D5" s="41"/>
      <c r="E5" s="41"/>
      <c r="F5" s="41"/>
      <c r="G5" s="42"/>
      <c r="H5" s="42"/>
      <c r="I5" s="42"/>
      <c r="J5" s="658"/>
      <c r="K5" s="756">
        <f>SUM(K6:K31)</f>
        <v>46625000</v>
      </c>
    </row>
    <row r="6" spans="1:11" ht="17.25" customHeight="1" x14ac:dyDescent="0.5">
      <c r="A6" s="559"/>
      <c r="B6" s="719" t="s">
        <v>1277</v>
      </c>
      <c r="C6" s="707" t="s">
        <v>670</v>
      </c>
      <c r="D6" s="41"/>
      <c r="E6" s="623" t="s">
        <v>671</v>
      </c>
      <c r="F6" s="41"/>
      <c r="G6" s="42">
        <v>7</v>
      </c>
      <c r="H6" s="42">
        <v>10</v>
      </c>
      <c r="I6" s="42">
        <v>8</v>
      </c>
      <c r="J6" s="658">
        <v>90000</v>
      </c>
      <c r="K6" s="680">
        <f>G6*I6*J6</f>
        <v>5040000</v>
      </c>
    </row>
    <row r="7" spans="1:11" ht="17.25" customHeight="1" x14ac:dyDescent="0.5">
      <c r="A7" s="559"/>
      <c r="B7" s="719" t="s">
        <v>1278</v>
      </c>
      <c r="C7" s="707" t="s">
        <v>670</v>
      </c>
      <c r="D7" s="41"/>
      <c r="E7" s="623" t="s">
        <v>671</v>
      </c>
      <c r="F7" s="41"/>
      <c r="G7" s="42">
        <v>2</v>
      </c>
      <c r="H7" s="42">
        <v>10</v>
      </c>
      <c r="I7" s="42">
        <v>7</v>
      </c>
      <c r="J7" s="658">
        <v>65000</v>
      </c>
      <c r="K7" s="680">
        <f t="shared" ref="K7:K27" si="0">G7*I7*J7</f>
        <v>910000</v>
      </c>
    </row>
    <row r="8" spans="1:11" ht="17.25" customHeight="1" x14ac:dyDescent="0.5">
      <c r="A8" s="559"/>
      <c r="B8" s="719" t="s">
        <v>1279</v>
      </c>
      <c r="C8" s="707" t="s">
        <v>670</v>
      </c>
      <c r="D8" s="623" t="s">
        <v>671</v>
      </c>
      <c r="E8" s="41"/>
      <c r="F8" s="41"/>
      <c r="G8" s="42">
        <v>3</v>
      </c>
      <c r="H8" s="42">
        <v>12</v>
      </c>
      <c r="I8" s="42">
        <v>7</v>
      </c>
      <c r="J8" s="658">
        <v>60000</v>
      </c>
      <c r="K8" s="680">
        <f t="shared" si="0"/>
        <v>1260000</v>
      </c>
    </row>
    <row r="9" spans="1:11" ht="17.25" customHeight="1" x14ac:dyDescent="0.5">
      <c r="A9" s="559"/>
      <c r="B9" s="719" t="s">
        <v>1280</v>
      </c>
      <c r="C9" s="707" t="s">
        <v>670</v>
      </c>
      <c r="D9" s="41"/>
      <c r="E9" s="623" t="s">
        <v>671</v>
      </c>
      <c r="F9" s="41"/>
      <c r="G9" s="42">
        <v>5</v>
      </c>
      <c r="H9" s="42">
        <v>10</v>
      </c>
      <c r="I9" s="42">
        <v>7</v>
      </c>
      <c r="J9" s="658">
        <v>65000</v>
      </c>
      <c r="K9" s="680">
        <f t="shared" si="0"/>
        <v>2275000</v>
      </c>
    </row>
    <row r="10" spans="1:11" ht="17.25" customHeight="1" x14ac:dyDescent="0.5">
      <c r="A10" s="559"/>
      <c r="B10" s="720" t="s">
        <v>1282</v>
      </c>
      <c r="C10" s="707" t="s">
        <v>670</v>
      </c>
      <c r="D10" s="41"/>
      <c r="E10" s="623" t="s">
        <v>671</v>
      </c>
      <c r="F10" s="41"/>
      <c r="G10" s="42">
        <v>1</v>
      </c>
      <c r="H10" s="42">
        <v>10</v>
      </c>
      <c r="I10" s="42">
        <v>7</v>
      </c>
      <c r="J10" s="658">
        <v>60000</v>
      </c>
      <c r="K10" s="680">
        <f t="shared" si="0"/>
        <v>420000</v>
      </c>
    </row>
    <row r="11" spans="1:11" ht="17.25" customHeight="1" x14ac:dyDescent="0.5">
      <c r="A11" s="559"/>
      <c r="B11" s="720" t="s">
        <v>1281</v>
      </c>
      <c r="C11" s="707" t="s">
        <v>670</v>
      </c>
      <c r="D11" s="623" t="s">
        <v>671</v>
      </c>
      <c r="E11" s="41"/>
      <c r="F11" s="41"/>
      <c r="G11" s="42">
        <v>4</v>
      </c>
      <c r="H11" s="42">
        <v>5</v>
      </c>
      <c r="I11" s="42">
        <v>8</v>
      </c>
      <c r="J11" s="658">
        <v>60000</v>
      </c>
      <c r="K11" s="680">
        <f t="shared" si="0"/>
        <v>1920000</v>
      </c>
    </row>
    <row r="12" spans="1:11" ht="17.25" customHeight="1" x14ac:dyDescent="0.5">
      <c r="A12" s="559"/>
      <c r="B12" s="720" t="s">
        <v>1283</v>
      </c>
      <c r="C12" s="707" t="s">
        <v>670</v>
      </c>
      <c r="D12" s="41"/>
      <c r="E12" s="623" t="s">
        <v>671</v>
      </c>
      <c r="F12" s="41"/>
      <c r="G12" s="42">
        <v>1</v>
      </c>
      <c r="H12" s="42">
        <v>10</v>
      </c>
      <c r="I12" s="42">
        <v>8</v>
      </c>
      <c r="J12" s="658">
        <v>65000</v>
      </c>
      <c r="K12" s="680">
        <f t="shared" si="0"/>
        <v>520000</v>
      </c>
    </row>
    <row r="13" spans="1:11" ht="17.25" customHeight="1" x14ac:dyDescent="0.5">
      <c r="A13" s="559"/>
      <c r="B13" s="720" t="s">
        <v>1284</v>
      </c>
      <c r="C13" s="707" t="s">
        <v>670</v>
      </c>
      <c r="D13" s="623" t="s">
        <v>671</v>
      </c>
      <c r="E13" s="41"/>
      <c r="F13" s="41"/>
      <c r="G13" s="42">
        <v>5</v>
      </c>
      <c r="H13" s="42">
        <v>5</v>
      </c>
      <c r="I13" s="42">
        <v>8</v>
      </c>
      <c r="J13" s="658">
        <v>60000</v>
      </c>
      <c r="K13" s="680">
        <f t="shared" si="0"/>
        <v>2400000</v>
      </c>
    </row>
    <row r="14" spans="1:11" ht="17.25" customHeight="1" x14ac:dyDescent="0.5">
      <c r="A14" s="559"/>
      <c r="B14" s="720" t="s">
        <v>1285</v>
      </c>
      <c r="C14" s="707" t="s">
        <v>670</v>
      </c>
      <c r="D14" s="41"/>
      <c r="E14" s="623" t="s">
        <v>671</v>
      </c>
      <c r="F14" s="41"/>
      <c r="G14" s="42">
        <v>8</v>
      </c>
      <c r="H14" s="42">
        <v>6</v>
      </c>
      <c r="I14" s="42">
        <v>8</v>
      </c>
      <c r="J14" s="658">
        <v>65000</v>
      </c>
      <c r="K14" s="680">
        <f t="shared" si="0"/>
        <v>4160000</v>
      </c>
    </row>
    <row r="15" spans="1:11" ht="17.25" customHeight="1" x14ac:dyDescent="0.5">
      <c r="A15" s="559"/>
      <c r="B15" s="720" t="s">
        <v>1286</v>
      </c>
      <c r="C15" s="707" t="s">
        <v>670</v>
      </c>
      <c r="D15" s="623" t="s">
        <v>671</v>
      </c>
      <c r="E15" s="41"/>
      <c r="F15" s="41"/>
      <c r="G15" s="42">
        <v>6</v>
      </c>
      <c r="H15" s="42">
        <v>5</v>
      </c>
      <c r="I15" s="42">
        <v>7</v>
      </c>
      <c r="J15" s="658">
        <v>60000</v>
      </c>
      <c r="K15" s="680">
        <f t="shared" si="0"/>
        <v>2520000</v>
      </c>
    </row>
    <row r="16" spans="1:11" ht="17.25" customHeight="1" x14ac:dyDescent="0.5">
      <c r="A16" s="559"/>
      <c r="B16" s="720" t="s">
        <v>948</v>
      </c>
      <c r="C16" s="707" t="s">
        <v>670</v>
      </c>
      <c r="D16" s="41"/>
      <c r="E16" s="623" t="s">
        <v>671</v>
      </c>
      <c r="F16" s="41"/>
      <c r="G16" s="42">
        <v>5</v>
      </c>
      <c r="H16" s="42">
        <v>5</v>
      </c>
      <c r="I16" s="42">
        <v>7</v>
      </c>
      <c r="J16" s="658">
        <v>65000</v>
      </c>
      <c r="K16" s="680">
        <f t="shared" si="0"/>
        <v>2275000</v>
      </c>
    </row>
    <row r="17" spans="1:11" ht="17.25" customHeight="1" x14ac:dyDescent="0.5">
      <c r="A17" s="559"/>
      <c r="B17" s="720" t="s">
        <v>949</v>
      </c>
      <c r="C17" s="707" t="s">
        <v>670</v>
      </c>
      <c r="D17" s="623" t="s">
        <v>671</v>
      </c>
      <c r="E17" s="41"/>
      <c r="F17" s="41"/>
      <c r="G17" s="42">
        <v>1</v>
      </c>
      <c r="H17" s="42">
        <v>6</v>
      </c>
      <c r="I17" s="42">
        <v>7</v>
      </c>
      <c r="J17" s="658">
        <v>65000</v>
      </c>
      <c r="K17" s="680">
        <f t="shared" si="0"/>
        <v>455000</v>
      </c>
    </row>
    <row r="18" spans="1:11" ht="17.25" customHeight="1" x14ac:dyDescent="0.5">
      <c r="A18" s="559"/>
      <c r="B18" s="720" t="s">
        <v>950</v>
      </c>
      <c r="C18" s="707" t="s">
        <v>670</v>
      </c>
      <c r="D18" s="41"/>
      <c r="E18" s="623" t="s">
        <v>671</v>
      </c>
      <c r="F18" s="41"/>
      <c r="G18" s="42">
        <v>4</v>
      </c>
      <c r="H18" s="42">
        <v>5</v>
      </c>
      <c r="I18" s="42">
        <v>7</v>
      </c>
      <c r="J18" s="658">
        <v>60000</v>
      </c>
      <c r="K18" s="680">
        <f t="shared" si="0"/>
        <v>1680000</v>
      </c>
    </row>
    <row r="19" spans="1:11" ht="17.25" customHeight="1" x14ac:dyDescent="0.45">
      <c r="A19" s="498"/>
      <c r="B19" s="720" t="s">
        <v>951</v>
      </c>
      <c r="C19" s="707" t="s">
        <v>670</v>
      </c>
      <c r="D19" s="41"/>
      <c r="E19" s="623" t="s">
        <v>671</v>
      </c>
      <c r="F19" s="41"/>
      <c r="G19" s="42">
        <v>5</v>
      </c>
      <c r="H19" s="42">
        <v>6</v>
      </c>
      <c r="I19" s="42">
        <v>8</v>
      </c>
      <c r="J19" s="658">
        <v>60000</v>
      </c>
      <c r="K19" s="680">
        <f t="shared" si="0"/>
        <v>2400000</v>
      </c>
    </row>
    <row r="20" spans="1:11" ht="17.25" customHeight="1" x14ac:dyDescent="0.45">
      <c r="A20" s="498"/>
      <c r="B20" s="719" t="s">
        <v>952</v>
      </c>
      <c r="C20" s="707" t="s">
        <v>670</v>
      </c>
      <c r="D20" s="623" t="s">
        <v>671</v>
      </c>
      <c r="E20" s="41"/>
      <c r="F20" s="41"/>
      <c r="G20" s="42">
        <v>2</v>
      </c>
      <c r="H20" s="42">
        <v>12</v>
      </c>
      <c r="I20" s="42">
        <v>8</v>
      </c>
      <c r="J20" s="658">
        <v>60000</v>
      </c>
      <c r="K20" s="680">
        <f t="shared" si="0"/>
        <v>960000</v>
      </c>
    </row>
    <row r="21" spans="1:11" ht="17.25" customHeight="1" x14ac:dyDescent="0.45">
      <c r="A21" s="498"/>
      <c r="B21" s="719" t="s">
        <v>953</v>
      </c>
      <c r="C21" s="707" t="s">
        <v>670</v>
      </c>
      <c r="D21" s="41"/>
      <c r="E21" s="623" t="s">
        <v>671</v>
      </c>
      <c r="F21" s="41"/>
      <c r="G21" s="42">
        <v>1</v>
      </c>
      <c r="H21" s="42"/>
      <c r="I21" s="42">
        <v>8</v>
      </c>
      <c r="J21" s="658">
        <v>60000</v>
      </c>
      <c r="K21" s="680">
        <f t="shared" si="0"/>
        <v>480000</v>
      </c>
    </row>
    <row r="22" spans="1:11" ht="17.25" customHeight="1" x14ac:dyDescent="0.45">
      <c r="A22" s="498"/>
      <c r="B22" s="719" t="s">
        <v>954</v>
      </c>
      <c r="C22" s="707" t="s">
        <v>670</v>
      </c>
      <c r="D22" s="623" t="s">
        <v>671</v>
      </c>
      <c r="E22" s="41"/>
      <c r="F22" s="41"/>
      <c r="G22" s="42">
        <v>4</v>
      </c>
      <c r="H22" s="42">
        <v>12</v>
      </c>
      <c r="I22" s="42">
        <v>8</v>
      </c>
      <c r="J22" s="658">
        <v>60000</v>
      </c>
      <c r="K22" s="680">
        <f t="shared" si="0"/>
        <v>1920000</v>
      </c>
    </row>
    <row r="23" spans="1:11" ht="17.25" customHeight="1" x14ac:dyDescent="0.45">
      <c r="A23" s="498"/>
      <c r="B23" s="719" t="s">
        <v>955</v>
      </c>
      <c r="C23" s="707" t="s">
        <v>670</v>
      </c>
      <c r="D23" s="623" t="s">
        <v>671</v>
      </c>
      <c r="E23" s="41"/>
      <c r="F23" s="41"/>
      <c r="G23" s="42">
        <v>2</v>
      </c>
      <c r="H23" s="42">
        <v>6</v>
      </c>
      <c r="I23" s="42">
        <v>8</v>
      </c>
      <c r="J23" s="658">
        <v>60000</v>
      </c>
      <c r="K23" s="680">
        <f t="shared" si="0"/>
        <v>960000</v>
      </c>
    </row>
    <row r="24" spans="1:11" ht="17.25" customHeight="1" x14ac:dyDescent="0.45">
      <c r="A24" s="498"/>
      <c r="B24" s="719" t="s">
        <v>956</v>
      </c>
      <c r="C24" s="707" t="s">
        <v>670</v>
      </c>
      <c r="D24" s="623" t="s">
        <v>671</v>
      </c>
      <c r="E24" s="41"/>
      <c r="F24" s="41"/>
      <c r="G24" s="42">
        <v>2</v>
      </c>
      <c r="H24" s="42">
        <v>6</v>
      </c>
      <c r="I24" s="42">
        <v>8</v>
      </c>
      <c r="J24" s="658">
        <v>60000</v>
      </c>
      <c r="K24" s="680">
        <f t="shared" si="0"/>
        <v>960000</v>
      </c>
    </row>
    <row r="25" spans="1:11" ht="17.25" customHeight="1" x14ac:dyDescent="0.45">
      <c r="A25" s="498"/>
      <c r="B25" s="719" t="s">
        <v>957</v>
      </c>
      <c r="C25" s="707" t="s">
        <v>670</v>
      </c>
      <c r="D25" s="623" t="s">
        <v>671</v>
      </c>
      <c r="E25" s="41"/>
      <c r="F25" s="41"/>
      <c r="G25" s="42">
        <v>3</v>
      </c>
      <c r="H25" s="42">
        <v>5</v>
      </c>
      <c r="I25" s="42">
        <v>6</v>
      </c>
      <c r="J25" s="658">
        <v>60000</v>
      </c>
      <c r="K25" s="680">
        <f t="shared" si="0"/>
        <v>1080000</v>
      </c>
    </row>
    <row r="26" spans="1:11" ht="17.25" customHeight="1" x14ac:dyDescent="0.45">
      <c r="A26" s="498"/>
      <c r="B26" s="719" t="s">
        <v>958</v>
      </c>
      <c r="C26" s="707" t="s">
        <v>670</v>
      </c>
      <c r="D26" s="623" t="s">
        <v>671</v>
      </c>
      <c r="E26" s="41"/>
      <c r="F26" s="41"/>
      <c r="G26" s="42">
        <v>5</v>
      </c>
      <c r="H26" s="42">
        <v>5</v>
      </c>
      <c r="I26" s="42">
        <v>5</v>
      </c>
      <c r="J26" s="658">
        <v>65000</v>
      </c>
      <c r="K26" s="680">
        <f t="shared" si="0"/>
        <v>1625000</v>
      </c>
    </row>
    <row r="27" spans="1:11" ht="17.25" customHeight="1" x14ac:dyDescent="0.45">
      <c r="A27" s="741"/>
      <c r="B27" s="719" t="s">
        <v>959</v>
      </c>
      <c r="C27" s="707" t="s">
        <v>670</v>
      </c>
      <c r="D27" s="623" t="s">
        <v>671</v>
      </c>
      <c r="E27" s="41"/>
      <c r="F27" s="41"/>
      <c r="G27" s="42">
        <v>1</v>
      </c>
      <c r="H27" s="42">
        <v>5</v>
      </c>
      <c r="I27" s="42">
        <v>5</v>
      </c>
      <c r="J27" s="658">
        <v>65000</v>
      </c>
      <c r="K27" s="680">
        <f t="shared" si="0"/>
        <v>325000</v>
      </c>
    </row>
    <row r="28" spans="1:11" ht="17.25" customHeight="1" x14ac:dyDescent="0.45">
      <c r="A28" s="741"/>
      <c r="B28" s="719" t="s">
        <v>960</v>
      </c>
      <c r="C28" s="707" t="s">
        <v>670</v>
      </c>
      <c r="D28" s="623" t="s">
        <v>671</v>
      </c>
      <c r="E28" s="41"/>
      <c r="F28" s="41"/>
      <c r="G28" s="42"/>
      <c r="H28" s="42"/>
      <c r="I28" s="42" t="s">
        <v>961</v>
      </c>
      <c r="J28" s="658">
        <v>7200</v>
      </c>
      <c r="K28" s="680">
        <f>5760000</f>
        <v>5760000</v>
      </c>
    </row>
    <row r="29" spans="1:11" ht="17.25" customHeight="1" x14ac:dyDescent="0.45">
      <c r="A29" s="741"/>
      <c r="B29" s="719" t="s">
        <v>962</v>
      </c>
      <c r="C29" s="707" t="s">
        <v>670</v>
      </c>
      <c r="D29" s="623" t="s">
        <v>671</v>
      </c>
      <c r="E29" s="41"/>
      <c r="F29" s="41"/>
      <c r="G29" s="42"/>
      <c r="H29" s="42"/>
      <c r="I29" s="42" t="s">
        <v>961</v>
      </c>
      <c r="J29" s="658">
        <v>7200</v>
      </c>
      <c r="K29" s="680">
        <f>1440000</f>
        <v>1440000</v>
      </c>
    </row>
    <row r="30" spans="1:11" ht="17.25" customHeight="1" x14ac:dyDescent="0.5">
      <c r="A30" s="559"/>
      <c r="B30" s="719" t="s">
        <v>963</v>
      </c>
      <c r="C30" s="707" t="s">
        <v>673</v>
      </c>
      <c r="D30" s="623" t="s">
        <v>671</v>
      </c>
      <c r="E30" s="41"/>
      <c r="F30" s="41"/>
      <c r="G30" s="42">
        <v>2</v>
      </c>
      <c r="H30" s="42">
        <v>3</v>
      </c>
      <c r="I30" s="42">
        <v>8</v>
      </c>
      <c r="J30" s="658">
        <v>30000</v>
      </c>
      <c r="K30" s="680">
        <f>1440000</f>
        <v>1440000</v>
      </c>
    </row>
    <row r="31" spans="1:11" ht="17.25" customHeight="1" x14ac:dyDescent="0.5">
      <c r="A31" s="559"/>
      <c r="B31" s="719" t="s">
        <v>964</v>
      </c>
      <c r="C31" s="707" t="s">
        <v>670</v>
      </c>
      <c r="D31" s="623" t="s">
        <v>671</v>
      </c>
      <c r="E31" s="41"/>
      <c r="F31" s="41"/>
      <c r="G31" s="42">
        <v>2</v>
      </c>
      <c r="H31" s="42">
        <v>5</v>
      </c>
      <c r="I31" s="42">
        <v>10</v>
      </c>
      <c r="J31" s="658">
        <v>50000</v>
      </c>
      <c r="K31" s="680">
        <f>1440000</f>
        <v>1440000</v>
      </c>
    </row>
    <row r="32" spans="1:11" ht="17.25" customHeight="1" x14ac:dyDescent="0.45">
      <c r="A32" s="498"/>
      <c r="B32" s="718" t="s">
        <v>200</v>
      </c>
      <c r="C32" s="707"/>
      <c r="D32" s="41"/>
      <c r="E32" s="41"/>
      <c r="F32" s="41"/>
      <c r="G32" s="42"/>
      <c r="H32" s="42"/>
      <c r="I32" s="42"/>
      <c r="J32" s="658"/>
      <c r="K32" s="756">
        <f>SUM(K33:K36)</f>
        <v>3960000</v>
      </c>
    </row>
    <row r="33" spans="1:11" ht="17.25" customHeight="1" x14ac:dyDescent="0.45">
      <c r="A33" s="498"/>
      <c r="B33" s="719" t="s">
        <v>965</v>
      </c>
      <c r="C33" s="707" t="s">
        <v>674</v>
      </c>
      <c r="D33" s="623" t="s">
        <v>671</v>
      </c>
      <c r="E33" s="41"/>
      <c r="F33" s="41"/>
      <c r="G33" s="42">
        <v>4</v>
      </c>
      <c r="H33" s="42">
        <v>2</v>
      </c>
      <c r="I33" s="42">
        <v>12</v>
      </c>
      <c r="J33" s="658">
        <v>30000</v>
      </c>
      <c r="K33" s="680">
        <f>(J33*I33*G33)</f>
        <v>1440000</v>
      </c>
    </row>
    <row r="34" spans="1:11" ht="17.25" customHeight="1" x14ac:dyDescent="0.45">
      <c r="A34" s="498"/>
      <c r="B34" s="719" t="s">
        <v>263</v>
      </c>
      <c r="C34" s="707" t="s">
        <v>674</v>
      </c>
      <c r="D34" s="623" t="s">
        <v>671</v>
      </c>
      <c r="E34" s="41"/>
      <c r="F34" s="41"/>
      <c r="G34" s="42">
        <v>10</v>
      </c>
      <c r="H34" s="42"/>
      <c r="I34" s="42">
        <v>12</v>
      </c>
      <c r="J34" s="658">
        <v>15000</v>
      </c>
      <c r="K34" s="680">
        <f>(J34*I34*G34)</f>
        <v>1800000</v>
      </c>
    </row>
    <row r="35" spans="1:11" ht="17.25" customHeight="1" x14ac:dyDescent="0.45">
      <c r="A35" s="498"/>
      <c r="B35" s="719" t="s">
        <v>967</v>
      </c>
      <c r="C35" s="707"/>
      <c r="D35" s="41"/>
      <c r="E35" s="41"/>
      <c r="F35" s="41"/>
      <c r="G35" s="42"/>
      <c r="H35" s="42"/>
      <c r="I35" s="42"/>
      <c r="J35" s="658"/>
      <c r="K35" s="681"/>
    </row>
    <row r="36" spans="1:11" ht="17.25" customHeight="1" x14ac:dyDescent="0.45">
      <c r="A36" s="498"/>
      <c r="B36" s="719" t="s">
        <v>968</v>
      </c>
      <c r="C36" s="707" t="s">
        <v>674</v>
      </c>
      <c r="D36" s="623" t="s">
        <v>671</v>
      </c>
      <c r="E36" s="41"/>
      <c r="F36" s="41"/>
      <c r="G36" s="42">
        <v>5</v>
      </c>
      <c r="H36" s="42"/>
      <c r="I36" s="42">
        <v>12</v>
      </c>
      <c r="J36" s="658">
        <v>12000</v>
      </c>
      <c r="K36" s="680">
        <f>(J36*I36*G36)</f>
        <v>720000</v>
      </c>
    </row>
    <row r="37" spans="1:11" ht="18.75" customHeight="1" x14ac:dyDescent="0.45">
      <c r="A37" s="498">
        <v>2</v>
      </c>
      <c r="B37" s="718" t="s">
        <v>1287</v>
      </c>
      <c r="C37" s="630"/>
      <c r="D37" s="41"/>
      <c r="E37" s="41"/>
      <c r="F37" s="41"/>
      <c r="G37" s="42"/>
      <c r="H37" s="42"/>
      <c r="I37" s="42"/>
      <c r="J37" s="658"/>
      <c r="K37" s="757">
        <f>K39+K91+K217+K256+K299+K322+K382</f>
        <v>37415000</v>
      </c>
    </row>
    <row r="38" spans="1:11" ht="17.25" customHeight="1" x14ac:dyDescent="0.45">
      <c r="A38" s="498"/>
      <c r="B38" s="721" t="s">
        <v>969</v>
      </c>
      <c r="C38" s="630"/>
      <c r="D38" s="41"/>
      <c r="E38" s="41"/>
      <c r="F38" s="41"/>
      <c r="G38" s="42"/>
      <c r="H38" s="42"/>
      <c r="I38" s="42"/>
      <c r="J38" s="658"/>
      <c r="K38" s="681"/>
    </row>
    <row r="39" spans="1:11" ht="17.25" customHeight="1" x14ac:dyDescent="0.45">
      <c r="A39" s="498"/>
      <c r="B39" s="718" t="s">
        <v>970</v>
      </c>
      <c r="C39" s="630"/>
      <c r="D39" s="41"/>
      <c r="E39" s="41"/>
      <c r="F39" s="41"/>
      <c r="G39" s="42"/>
      <c r="H39" s="42"/>
      <c r="I39" s="42"/>
      <c r="J39" s="658"/>
      <c r="K39" s="757">
        <f>K40+K41+K49+K54+K64+K74+K82+K83</f>
        <v>4173450</v>
      </c>
    </row>
    <row r="40" spans="1:11" ht="17.25" customHeight="1" x14ac:dyDescent="0.45">
      <c r="A40" s="498"/>
      <c r="B40" s="719" t="s">
        <v>971</v>
      </c>
      <c r="C40" s="630"/>
      <c r="D40" s="41"/>
      <c r="E40" s="41"/>
      <c r="F40" s="41"/>
      <c r="G40" s="42">
        <v>600</v>
      </c>
      <c r="H40" s="42"/>
      <c r="I40" s="42"/>
      <c r="J40" s="658">
        <v>300</v>
      </c>
      <c r="K40" s="679">
        <f>(J40*G40)</f>
        <v>180000</v>
      </c>
    </row>
    <row r="41" spans="1:11" ht="17.25" customHeight="1" x14ac:dyDescent="0.45">
      <c r="A41" s="498"/>
      <c r="B41" s="719" t="s">
        <v>972</v>
      </c>
      <c r="C41" s="630"/>
      <c r="D41" s="41"/>
      <c r="E41" s="41"/>
      <c r="F41" s="41"/>
      <c r="G41" s="42"/>
      <c r="H41" s="42"/>
      <c r="I41" s="42"/>
      <c r="J41" s="658"/>
      <c r="K41" s="679">
        <f>K42+K43+K44+K45+K46+K47+K48</f>
        <v>242350</v>
      </c>
    </row>
    <row r="42" spans="1:11" ht="17.25" customHeight="1" x14ac:dyDescent="0.45">
      <c r="A42" s="498"/>
      <c r="B42" s="719" t="s">
        <v>973</v>
      </c>
      <c r="C42" s="630"/>
      <c r="D42" s="41"/>
      <c r="E42" s="41"/>
      <c r="F42" s="41"/>
      <c r="G42" s="42">
        <v>95</v>
      </c>
      <c r="H42" s="42"/>
      <c r="I42" s="42"/>
      <c r="J42" s="658">
        <v>50</v>
      </c>
      <c r="K42" s="680">
        <f>(J42*G42)</f>
        <v>4750</v>
      </c>
    </row>
    <row r="43" spans="1:11" ht="17.25" customHeight="1" x14ac:dyDescent="0.45">
      <c r="A43" s="498"/>
      <c r="B43" s="719" t="s">
        <v>974</v>
      </c>
      <c r="C43" s="630"/>
      <c r="D43" s="41"/>
      <c r="E43" s="41"/>
      <c r="F43" s="41"/>
      <c r="G43" s="42">
        <v>95</v>
      </c>
      <c r="H43" s="42"/>
      <c r="I43" s="42">
        <v>2</v>
      </c>
      <c r="J43" s="658">
        <v>500</v>
      </c>
      <c r="K43" s="680">
        <f>(J43*I43*G43)</f>
        <v>95000</v>
      </c>
    </row>
    <row r="44" spans="1:11" ht="17.25" customHeight="1" x14ac:dyDescent="0.45">
      <c r="A44" s="498"/>
      <c r="B44" s="719" t="s">
        <v>975</v>
      </c>
      <c r="C44" s="630"/>
      <c r="D44" s="41"/>
      <c r="E44" s="41"/>
      <c r="F44" s="41"/>
      <c r="G44" s="42">
        <v>190</v>
      </c>
      <c r="H44" s="42"/>
      <c r="I44" s="42">
        <v>2</v>
      </c>
      <c r="J44" s="658">
        <v>50</v>
      </c>
      <c r="K44" s="680">
        <f>(J44*I44*G44)</f>
        <v>19000</v>
      </c>
    </row>
    <row r="45" spans="1:11" ht="17.25" customHeight="1" x14ac:dyDescent="0.45">
      <c r="A45" s="498"/>
      <c r="B45" s="719" t="s">
        <v>976</v>
      </c>
      <c r="C45" s="630"/>
      <c r="D45" s="41"/>
      <c r="E45" s="41"/>
      <c r="F45" s="41"/>
      <c r="G45" s="42">
        <v>7</v>
      </c>
      <c r="H45" s="42"/>
      <c r="I45" s="42">
        <v>2</v>
      </c>
      <c r="J45" s="658">
        <v>1200</v>
      </c>
      <c r="K45" s="680">
        <f>(J45*I45*G45)</f>
        <v>16800</v>
      </c>
    </row>
    <row r="46" spans="1:11" ht="17.25" customHeight="1" x14ac:dyDescent="0.45">
      <c r="A46" s="498"/>
      <c r="B46" s="719" t="s">
        <v>977</v>
      </c>
      <c r="C46" s="630"/>
      <c r="D46" s="41"/>
      <c r="E46" s="41"/>
      <c r="F46" s="41"/>
      <c r="G46" s="42">
        <v>1</v>
      </c>
      <c r="H46" s="42"/>
      <c r="I46" s="42">
        <v>2</v>
      </c>
      <c r="J46" s="658">
        <v>50000</v>
      </c>
      <c r="K46" s="680">
        <f>(J46*I46*G46)</f>
        <v>100000</v>
      </c>
    </row>
    <row r="47" spans="1:11" ht="17.25" customHeight="1" x14ac:dyDescent="0.45">
      <c r="A47" s="498"/>
      <c r="B47" s="719" t="s">
        <v>978</v>
      </c>
      <c r="C47" s="630"/>
      <c r="D47" s="41"/>
      <c r="E47" s="41"/>
      <c r="F47" s="41"/>
      <c r="G47" s="42">
        <v>3</v>
      </c>
      <c r="H47" s="42"/>
      <c r="I47" s="42">
        <v>2</v>
      </c>
      <c r="J47" s="658">
        <v>300</v>
      </c>
      <c r="K47" s="680">
        <f>(J47*I47*G47)</f>
        <v>1800</v>
      </c>
    </row>
    <row r="48" spans="1:11" ht="17.25" customHeight="1" x14ac:dyDescent="0.45">
      <c r="A48" s="498"/>
      <c r="B48" s="719" t="s">
        <v>979</v>
      </c>
      <c r="C48" s="630"/>
      <c r="D48" s="41"/>
      <c r="E48" s="41"/>
      <c r="F48" s="41"/>
      <c r="G48" s="42"/>
      <c r="H48" s="42"/>
      <c r="I48" s="42"/>
      <c r="J48" s="658">
        <v>5000</v>
      </c>
      <c r="K48" s="680">
        <f>J48</f>
        <v>5000</v>
      </c>
    </row>
    <row r="49" spans="1:11" ht="17.25" customHeight="1" x14ac:dyDescent="0.45">
      <c r="A49" s="498"/>
      <c r="B49" s="719" t="s">
        <v>980</v>
      </c>
      <c r="C49" s="630"/>
      <c r="D49" s="41"/>
      <c r="E49" s="41"/>
      <c r="F49" s="41"/>
      <c r="G49" s="42"/>
      <c r="H49" s="42"/>
      <c r="I49" s="42"/>
      <c r="J49" s="658"/>
      <c r="K49" s="679">
        <f>K50+K51+K52+K53</f>
        <v>1328000</v>
      </c>
    </row>
    <row r="50" spans="1:11" ht="17.25" customHeight="1" x14ac:dyDescent="0.45">
      <c r="A50" s="498"/>
      <c r="B50" s="719" t="s">
        <v>981</v>
      </c>
      <c r="C50" s="630"/>
      <c r="D50" s="41"/>
      <c r="E50" s="41"/>
      <c r="F50" s="41"/>
      <c r="G50" s="42">
        <v>270</v>
      </c>
      <c r="H50" s="42"/>
      <c r="I50" s="42"/>
      <c r="J50" s="658">
        <v>2500</v>
      </c>
      <c r="K50" s="680">
        <f>(J50*G50)</f>
        <v>675000</v>
      </c>
    </row>
    <row r="51" spans="1:11" ht="17.25" customHeight="1" x14ac:dyDescent="0.45">
      <c r="A51" s="498"/>
      <c r="B51" s="719" t="s">
        <v>982</v>
      </c>
      <c r="C51" s="630"/>
      <c r="D51" s="41"/>
      <c r="E51" s="41"/>
      <c r="F51" s="41"/>
      <c r="G51" s="42">
        <v>270</v>
      </c>
      <c r="H51" s="42"/>
      <c r="I51" s="42"/>
      <c r="J51" s="658">
        <v>1200</v>
      </c>
      <c r="K51" s="680">
        <f>(J51*G51)</f>
        <v>324000</v>
      </c>
    </row>
    <row r="52" spans="1:11" ht="17.25" customHeight="1" x14ac:dyDescent="0.45">
      <c r="A52" s="498"/>
      <c r="B52" s="719" t="s">
        <v>983</v>
      </c>
      <c r="C52" s="630"/>
      <c r="D52" s="41"/>
      <c r="E52" s="41"/>
      <c r="F52" s="41"/>
      <c r="G52" s="42">
        <v>1080</v>
      </c>
      <c r="H52" s="42"/>
      <c r="I52" s="42"/>
      <c r="J52" s="658">
        <v>300</v>
      </c>
      <c r="K52" s="680">
        <f>(J52*G52)</f>
        <v>324000</v>
      </c>
    </row>
    <row r="53" spans="1:11" ht="17.25" customHeight="1" x14ac:dyDescent="0.45">
      <c r="A53" s="498"/>
      <c r="B53" s="719" t="s">
        <v>984</v>
      </c>
      <c r="C53" s="630"/>
      <c r="D53" s="41"/>
      <c r="E53" s="41"/>
      <c r="F53" s="41"/>
      <c r="G53" s="42"/>
      <c r="H53" s="42"/>
      <c r="I53" s="42"/>
      <c r="J53" s="658">
        <v>5000</v>
      </c>
      <c r="K53" s="680">
        <f>J53</f>
        <v>5000</v>
      </c>
    </row>
    <row r="54" spans="1:11" ht="17.25" customHeight="1" x14ac:dyDescent="0.45">
      <c r="A54" s="498"/>
      <c r="B54" s="719" t="s">
        <v>985</v>
      </c>
      <c r="C54" s="630"/>
      <c r="D54" s="41"/>
      <c r="E54" s="41"/>
      <c r="F54" s="41"/>
      <c r="G54" s="42"/>
      <c r="H54" s="42"/>
      <c r="I54" s="42"/>
      <c r="J54" s="658"/>
      <c r="K54" s="679">
        <f>K55+K56+K57+K58+K59+K60+K61+K62+K63</f>
        <v>1733000</v>
      </c>
    </row>
    <row r="55" spans="1:11" ht="17.25" customHeight="1" x14ac:dyDescent="0.45">
      <c r="A55" s="498"/>
      <c r="B55" s="719" t="s">
        <v>986</v>
      </c>
      <c r="C55" s="630"/>
      <c r="D55" s="41"/>
      <c r="E55" s="41"/>
      <c r="F55" s="41"/>
      <c r="G55" s="42">
        <v>500</v>
      </c>
      <c r="H55" s="42"/>
      <c r="I55" s="42"/>
      <c r="J55" s="658">
        <v>70</v>
      </c>
      <c r="K55" s="680">
        <f>(J55*G55)</f>
        <v>35000</v>
      </c>
    </row>
    <row r="56" spans="1:11" ht="17.25" customHeight="1" x14ac:dyDescent="0.45">
      <c r="A56" s="498"/>
      <c r="B56" s="719" t="s">
        <v>987</v>
      </c>
      <c r="C56" s="630"/>
      <c r="D56" s="41"/>
      <c r="E56" s="41"/>
      <c r="F56" s="41"/>
      <c r="G56" s="42">
        <v>505</v>
      </c>
      <c r="H56" s="42"/>
      <c r="I56" s="42">
        <v>3</v>
      </c>
      <c r="J56" s="658">
        <v>500</v>
      </c>
      <c r="K56" s="680">
        <f t="shared" ref="K56:K62" si="1">(J56*I56*G56)</f>
        <v>757500</v>
      </c>
    </row>
    <row r="57" spans="1:11" ht="17.25" customHeight="1" x14ac:dyDescent="0.45">
      <c r="A57" s="498"/>
      <c r="B57" s="719" t="s">
        <v>988</v>
      </c>
      <c r="C57" s="630"/>
      <c r="D57" s="41"/>
      <c r="E57" s="41"/>
      <c r="F57" s="41"/>
      <c r="G57" s="42">
        <v>1010</v>
      </c>
      <c r="H57" s="42"/>
      <c r="I57" s="42">
        <v>3</v>
      </c>
      <c r="J57" s="658">
        <v>50</v>
      </c>
      <c r="K57" s="680">
        <f t="shared" si="1"/>
        <v>151500</v>
      </c>
    </row>
    <row r="58" spans="1:11" ht="17.25" customHeight="1" x14ac:dyDescent="0.45">
      <c r="A58" s="498"/>
      <c r="B58" s="719" t="s">
        <v>989</v>
      </c>
      <c r="C58" s="630"/>
      <c r="D58" s="41"/>
      <c r="E58" s="41"/>
      <c r="F58" s="41"/>
      <c r="G58" s="42">
        <v>21</v>
      </c>
      <c r="H58" s="42"/>
      <c r="I58" s="42">
        <v>4</v>
      </c>
      <c r="J58" s="658">
        <v>1200</v>
      </c>
      <c r="K58" s="680">
        <f t="shared" si="1"/>
        <v>100800</v>
      </c>
    </row>
    <row r="59" spans="1:11" ht="17.25" customHeight="1" x14ac:dyDescent="0.45">
      <c r="A59" s="498"/>
      <c r="B59" s="719" t="s">
        <v>990</v>
      </c>
      <c r="C59" s="630"/>
      <c r="D59" s="41"/>
      <c r="E59" s="41"/>
      <c r="F59" s="41"/>
      <c r="G59" s="42">
        <v>4</v>
      </c>
      <c r="H59" s="42"/>
      <c r="I59" s="42">
        <v>3</v>
      </c>
      <c r="J59" s="658">
        <v>50000</v>
      </c>
      <c r="K59" s="680">
        <f t="shared" si="1"/>
        <v>600000</v>
      </c>
    </row>
    <row r="60" spans="1:11" ht="17.25" customHeight="1" x14ac:dyDescent="0.45">
      <c r="A60" s="498"/>
      <c r="B60" s="719" t="s">
        <v>991</v>
      </c>
      <c r="C60" s="630"/>
      <c r="D60" s="41"/>
      <c r="E60" s="41"/>
      <c r="F60" s="41"/>
      <c r="G60" s="42">
        <v>12</v>
      </c>
      <c r="H60" s="42"/>
      <c r="I60" s="42">
        <v>4</v>
      </c>
      <c r="J60" s="658">
        <v>300</v>
      </c>
      <c r="K60" s="680">
        <f t="shared" si="1"/>
        <v>14400</v>
      </c>
    </row>
    <row r="61" spans="1:11" ht="17.25" customHeight="1" x14ac:dyDescent="0.45">
      <c r="A61" s="498"/>
      <c r="B61" s="719" t="s">
        <v>992</v>
      </c>
      <c r="C61" s="630"/>
      <c r="D61" s="41"/>
      <c r="E61" s="41"/>
      <c r="F61" s="41"/>
      <c r="G61" s="42">
        <v>4</v>
      </c>
      <c r="H61" s="42"/>
      <c r="I61" s="42">
        <v>4</v>
      </c>
      <c r="J61" s="658">
        <v>2500</v>
      </c>
      <c r="K61" s="680">
        <f t="shared" si="1"/>
        <v>40000</v>
      </c>
    </row>
    <row r="62" spans="1:11" ht="17.25" customHeight="1" x14ac:dyDescent="0.45">
      <c r="A62" s="498"/>
      <c r="B62" s="719" t="s">
        <v>993</v>
      </c>
      <c r="C62" s="630"/>
      <c r="D62" s="41"/>
      <c r="E62" s="41"/>
      <c r="F62" s="41"/>
      <c r="G62" s="42">
        <v>6</v>
      </c>
      <c r="H62" s="42"/>
      <c r="I62" s="42">
        <v>4</v>
      </c>
      <c r="J62" s="658">
        <v>1200</v>
      </c>
      <c r="K62" s="680">
        <f t="shared" si="1"/>
        <v>28800</v>
      </c>
    </row>
    <row r="63" spans="1:11" ht="17.25" customHeight="1" x14ac:dyDescent="0.45">
      <c r="A63" s="498"/>
      <c r="B63" s="719" t="s">
        <v>984</v>
      </c>
      <c r="C63" s="630"/>
      <c r="D63" s="41"/>
      <c r="E63" s="41"/>
      <c r="F63" s="41"/>
      <c r="G63" s="42"/>
      <c r="H63" s="42"/>
      <c r="I63" s="42"/>
      <c r="J63" s="658">
        <v>5000</v>
      </c>
      <c r="K63" s="680">
        <f>J63</f>
        <v>5000</v>
      </c>
    </row>
    <row r="64" spans="1:11" ht="17.25" customHeight="1" x14ac:dyDescent="0.45">
      <c r="A64" s="498"/>
      <c r="B64" s="719" t="s">
        <v>994</v>
      </c>
      <c r="C64" s="630"/>
      <c r="D64" s="41"/>
      <c r="E64" s="41"/>
      <c r="F64" s="41"/>
      <c r="G64" s="42"/>
      <c r="H64" s="42"/>
      <c r="I64" s="42"/>
      <c r="J64" s="658"/>
      <c r="K64" s="679">
        <f>K65+K66+K67+K68+K69+K70+K71+K72+K73</f>
        <v>241000</v>
      </c>
    </row>
    <row r="65" spans="1:11" ht="17.25" customHeight="1" x14ac:dyDescent="0.45">
      <c r="A65" s="498"/>
      <c r="B65" s="719" t="s">
        <v>995</v>
      </c>
      <c r="C65" s="630"/>
      <c r="D65" s="41"/>
      <c r="E65" s="41"/>
      <c r="F65" s="41"/>
      <c r="G65" s="42">
        <v>60</v>
      </c>
      <c r="H65" s="42"/>
      <c r="I65" s="42"/>
      <c r="J65" s="658">
        <v>70</v>
      </c>
      <c r="K65" s="680">
        <f>(J65*G65)</f>
        <v>4200</v>
      </c>
    </row>
    <row r="66" spans="1:11" ht="17.25" customHeight="1" x14ac:dyDescent="0.45">
      <c r="A66" s="498"/>
      <c r="B66" s="719" t="s">
        <v>996</v>
      </c>
      <c r="C66" s="630"/>
      <c r="D66" s="41"/>
      <c r="E66" s="41"/>
      <c r="F66" s="41"/>
      <c r="G66" s="42">
        <v>65</v>
      </c>
      <c r="H66" s="42"/>
      <c r="I66" s="42">
        <v>2</v>
      </c>
      <c r="J66" s="658">
        <v>500</v>
      </c>
      <c r="K66" s="680">
        <f t="shared" ref="K66:K72" si="2">(J66*I66*G66)</f>
        <v>65000</v>
      </c>
    </row>
    <row r="67" spans="1:11" ht="17.25" customHeight="1" x14ac:dyDescent="0.45">
      <c r="A67" s="498"/>
      <c r="B67" s="719" t="s">
        <v>997</v>
      </c>
      <c r="C67" s="630"/>
      <c r="D67" s="41"/>
      <c r="E67" s="41"/>
      <c r="F67" s="41"/>
      <c r="G67" s="42">
        <v>130</v>
      </c>
      <c r="H67" s="42"/>
      <c r="I67" s="42">
        <v>2</v>
      </c>
      <c r="J67" s="658">
        <v>50</v>
      </c>
      <c r="K67" s="680">
        <f t="shared" si="2"/>
        <v>13000</v>
      </c>
    </row>
    <row r="68" spans="1:11" ht="17.25" customHeight="1" x14ac:dyDescent="0.45">
      <c r="A68" s="498"/>
      <c r="B68" s="719" t="s">
        <v>998</v>
      </c>
      <c r="C68" s="630"/>
      <c r="D68" s="41"/>
      <c r="E68" s="41"/>
      <c r="F68" s="41"/>
      <c r="G68" s="42">
        <v>7</v>
      </c>
      <c r="H68" s="42"/>
      <c r="I68" s="42">
        <v>2</v>
      </c>
      <c r="J68" s="658">
        <v>1200</v>
      </c>
      <c r="K68" s="680">
        <f t="shared" si="2"/>
        <v>16800</v>
      </c>
    </row>
    <row r="69" spans="1:11" ht="17.25" customHeight="1" x14ac:dyDescent="0.45">
      <c r="A69" s="498"/>
      <c r="B69" s="719" t="s">
        <v>999</v>
      </c>
      <c r="C69" s="630"/>
      <c r="D69" s="41"/>
      <c r="E69" s="41"/>
      <c r="F69" s="41"/>
      <c r="G69" s="42">
        <v>1</v>
      </c>
      <c r="H69" s="42"/>
      <c r="I69" s="42">
        <v>2</v>
      </c>
      <c r="J69" s="658">
        <v>40000</v>
      </c>
      <c r="K69" s="680">
        <f t="shared" si="2"/>
        <v>80000</v>
      </c>
    </row>
    <row r="70" spans="1:11" ht="17.25" customHeight="1" x14ac:dyDescent="0.45">
      <c r="A70" s="498"/>
      <c r="B70" s="719" t="s">
        <v>1000</v>
      </c>
      <c r="C70" s="630"/>
      <c r="D70" s="41"/>
      <c r="E70" s="41"/>
      <c r="F70" s="41"/>
      <c r="G70" s="42">
        <v>4</v>
      </c>
      <c r="H70" s="42"/>
      <c r="I70" s="42">
        <v>4</v>
      </c>
      <c r="J70" s="658">
        <v>1200</v>
      </c>
      <c r="K70" s="680">
        <f t="shared" si="2"/>
        <v>19200</v>
      </c>
    </row>
    <row r="71" spans="1:11" ht="17.25" customHeight="1" x14ac:dyDescent="0.45">
      <c r="A71" s="498"/>
      <c r="B71" s="719" t="s">
        <v>1001</v>
      </c>
      <c r="C71" s="630"/>
      <c r="D71" s="41"/>
      <c r="E71" s="41"/>
      <c r="F71" s="41"/>
      <c r="G71" s="42">
        <v>30</v>
      </c>
      <c r="H71" s="42"/>
      <c r="I71" s="42">
        <v>1</v>
      </c>
      <c r="J71" s="658">
        <v>1200</v>
      </c>
      <c r="K71" s="680">
        <f t="shared" si="2"/>
        <v>36000</v>
      </c>
    </row>
    <row r="72" spans="1:11" ht="17.25" customHeight="1" x14ac:dyDescent="0.45">
      <c r="A72" s="498"/>
      <c r="B72" s="719" t="s">
        <v>1002</v>
      </c>
      <c r="C72" s="630"/>
      <c r="D72" s="41"/>
      <c r="E72" s="41"/>
      <c r="F72" s="41"/>
      <c r="G72" s="42">
        <v>3</v>
      </c>
      <c r="H72" s="42"/>
      <c r="I72" s="42">
        <v>2</v>
      </c>
      <c r="J72" s="658">
        <v>300</v>
      </c>
      <c r="K72" s="680">
        <f t="shared" si="2"/>
        <v>1800</v>
      </c>
    </row>
    <row r="73" spans="1:11" ht="17.25" customHeight="1" x14ac:dyDescent="0.45">
      <c r="A73" s="498"/>
      <c r="B73" s="719" t="s">
        <v>984</v>
      </c>
      <c r="C73" s="630"/>
      <c r="D73" s="41"/>
      <c r="E73" s="41"/>
      <c r="F73" s="41"/>
      <c r="G73" s="42"/>
      <c r="H73" s="42"/>
      <c r="I73" s="42"/>
      <c r="J73" s="658">
        <v>5000</v>
      </c>
      <c r="K73" s="680">
        <f>J73</f>
        <v>5000</v>
      </c>
    </row>
    <row r="74" spans="1:11" ht="17.25" customHeight="1" x14ac:dyDescent="0.45">
      <c r="A74" s="498"/>
      <c r="B74" s="719" t="s">
        <v>1003</v>
      </c>
      <c r="C74" s="630"/>
      <c r="D74" s="41"/>
      <c r="E74" s="41"/>
      <c r="F74" s="41"/>
      <c r="G74" s="42"/>
      <c r="H74" s="42"/>
      <c r="I74" s="42"/>
      <c r="J74" s="658"/>
      <c r="K74" s="679">
        <f>K75+K76+K77+K78+K79+K80+K81</f>
        <v>260300</v>
      </c>
    </row>
    <row r="75" spans="1:11" ht="17.25" customHeight="1" x14ac:dyDescent="0.45">
      <c r="A75" s="498"/>
      <c r="B75" s="719" t="s">
        <v>1004</v>
      </c>
      <c r="C75" s="630"/>
      <c r="D75" s="41"/>
      <c r="E75" s="41"/>
      <c r="F75" s="41"/>
      <c r="G75" s="42">
        <v>200</v>
      </c>
      <c r="H75" s="42"/>
      <c r="I75" s="42"/>
      <c r="J75" s="658">
        <v>70</v>
      </c>
      <c r="K75" s="680">
        <f>(J75*G75)</f>
        <v>14000</v>
      </c>
    </row>
    <row r="76" spans="1:11" ht="17.25" customHeight="1" x14ac:dyDescent="0.45">
      <c r="A76" s="498"/>
      <c r="B76" s="719" t="s">
        <v>1005</v>
      </c>
      <c r="C76" s="630"/>
      <c r="D76" s="41"/>
      <c r="E76" s="41"/>
      <c r="F76" s="41"/>
      <c r="G76" s="42">
        <v>220</v>
      </c>
      <c r="H76" s="42"/>
      <c r="I76" s="42">
        <v>1</v>
      </c>
      <c r="J76" s="658">
        <v>500</v>
      </c>
      <c r="K76" s="680">
        <f>(J76*I76*G76)</f>
        <v>110000</v>
      </c>
    </row>
    <row r="77" spans="1:11" ht="17.25" customHeight="1" x14ac:dyDescent="0.45">
      <c r="A77" s="498"/>
      <c r="B77" s="719" t="s">
        <v>1006</v>
      </c>
      <c r="C77" s="630"/>
      <c r="D77" s="41"/>
      <c r="E77" s="41"/>
      <c r="F77" s="41"/>
      <c r="G77" s="42">
        <v>440</v>
      </c>
      <c r="H77" s="42"/>
      <c r="I77" s="42" t="s">
        <v>966</v>
      </c>
      <c r="J77" s="658">
        <v>50</v>
      </c>
      <c r="K77" s="680">
        <f>(J77*G77)</f>
        <v>22000</v>
      </c>
    </row>
    <row r="78" spans="1:11" ht="17.25" customHeight="1" x14ac:dyDescent="0.45">
      <c r="A78" s="498"/>
      <c r="B78" s="719" t="s">
        <v>1007</v>
      </c>
      <c r="C78" s="630"/>
      <c r="D78" s="41"/>
      <c r="E78" s="41"/>
      <c r="F78" s="41"/>
      <c r="G78" s="42">
        <v>7</v>
      </c>
      <c r="H78" s="42"/>
      <c r="I78" s="42">
        <v>1</v>
      </c>
      <c r="J78" s="658">
        <v>1200</v>
      </c>
      <c r="K78" s="680">
        <f>(J78*I78*G78)</f>
        <v>8400</v>
      </c>
    </row>
    <row r="79" spans="1:11" ht="17.25" customHeight="1" x14ac:dyDescent="0.45">
      <c r="A79" s="498">
        <v>2.2999999999999998</v>
      </c>
      <c r="B79" s="719" t="s">
        <v>1008</v>
      </c>
      <c r="C79" s="630"/>
      <c r="D79" s="41"/>
      <c r="E79" s="41"/>
      <c r="F79" s="41"/>
      <c r="G79" s="42">
        <v>1</v>
      </c>
      <c r="H79" s="42"/>
      <c r="I79" s="42"/>
      <c r="J79" s="658">
        <v>100000</v>
      </c>
      <c r="K79" s="680">
        <f>(J79*G79)</f>
        <v>100000</v>
      </c>
    </row>
    <row r="80" spans="1:11" ht="17.25" customHeight="1" x14ac:dyDescent="0.45">
      <c r="A80" s="498"/>
      <c r="B80" s="719" t="s">
        <v>1009</v>
      </c>
      <c r="C80" s="630"/>
      <c r="D80" s="41"/>
      <c r="E80" s="41"/>
      <c r="F80" s="41"/>
      <c r="G80" s="42">
        <v>3</v>
      </c>
      <c r="H80" s="42"/>
      <c r="I80" s="42">
        <v>1</v>
      </c>
      <c r="J80" s="658">
        <v>300</v>
      </c>
      <c r="K80" s="680">
        <f>(J80*I80*G80)</f>
        <v>900</v>
      </c>
    </row>
    <row r="81" spans="1:11" ht="17.25" customHeight="1" x14ac:dyDescent="0.45">
      <c r="A81" s="498"/>
      <c r="B81" s="719" t="s">
        <v>984</v>
      </c>
      <c r="C81" s="630"/>
      <c r="D81" s="41"/>
      <c r="E81" s="41"/>
      <c r="F81" s="41"/>
      <c r="G81" s="42"/>
      <c r="H81" s="42"/>
      <c r="I81" s="42"/>
      <c r="J81" s="658">
        <v>5000</v>
      </c>
      <c r="K81" s="680">
        <f>J81</f>
        <v>5000</v>
      </c>
    </row>
    <row r="82" spans="1:11" ht="17.25" customHeight="1" x14ac:dyDescent="0.45">
      <c r="A82" s="498"/>
      <c r="B82" s="719" t="s">
        <v>1010</v>
      </c>
      <c r="C82" s="630"/>
      <c r="D82" s="41"/>
      <c r="E82" s="41"/>
      <c r="F82" s="41"/>
      <c r="G82" s="42"/>
      <c r="H82" s="42"/>
      <c r="I82" s="42"/>
      <c r="J82" s="658">
        <v>150000</v>
      </c>
      <c r="K82" s="679">
        <f>J82</f>
        <v>150000</v>
      </c>
    </row>
    <row r="83" spans="1:11" ht="17.25" customHeight="1" x14ac:dyDescent="0.45">
      <c r="A83" s="498"/>
      <c r="B83" s="722" t="s">
        <v>1011</v>
      </c>
      <c r="C83" s="708"/>
      <c r="D83" s="179"/>
      <c r="E83" s="179"/>
      <c r="F83" s="179"/>
      <c r="G83" s="178"/>
      <c r="H83" s="178"/>
      <c r="I83" s="178"/>
      <c r="J83" s="659"/>
      <c r="K83" s="682">
        <f>SUM(K84:K88)</f>
        <v>38800</v>
      </c>
    </row>
    <row r="84" spans="1:11" ht="17.25" customHeight="1" x14ac:dyDescent="0.45">
      <c r="A84" s="498"/>
      <c r="B84" s="719" t="s">
        <v>1012</v>
      </c>
      <c r="C84" s="630"/>
      <c r="D84" s="42"/>
      <c r="E84" s="42"/>
      <c r="F84" s="41"/>
      <c r="G84" s="42"/>
      <c r="H84" s="42"/>
      <c r="I84" s="42">
        <v>8</v>
      </c>
      <c r="J84" s="660">
        <v>500</v>
      </c>
      <c r="K84" s="683">
        <f>J84*I84</f>
        <v>4000</v>
      </c>
    </row>
    <row r="85" spans="1:11" ht="17.25" customHeight="1" x14ac:dyDescent="0.45">
      <c r="A85" s="498"/>
      <c r="B85" s="719" t="s">
        <v>1013</v>
      </c>
      <c r="C85" s="630"/>
      <c r="D85" s="42"/>
      <c r="E85" s="42"/>
      <c r="F85" s="41"/>
      <c r="G85" s="42"/>
      <c r="H85" s="42"/>
      <c r="I85" s="42">
        <v>8</v>
      </c>
      <c r="J85" s="660">
        <v>600</v>
      </c>
      <c r="K85" s="683">
        <f>J85*I85</f>
        <v>4800</v>
      </c>
    </row>
    <row r="86" spans="1:11" ht="17.25" customHeight="1" x14ac:dyDescent="0.45">
      <c r="A86" s="498"/>
      <c r="B86" s="719" t="s">
        <v>1014</v>
      </c>
      <c r="C86" s="630"/>
      <c r="D86" s="42"/>
      <c r="E86" s="42"/>
      <c r="F86" s="41"/>
      <c r="G86" s="42"/>
      <c r="H86" s="42"/>
      <c r="I86" s="42">
        <v>8</v>
      </c>
      <c r="J86" s="660">
        <v>1000</v>
      </c>
      <c r="K86" s="683">
        <f>J86*I86</f>
        <v>8000</v>
      </c>
    </row>
    <row r="87" spans="1:11" ht="17.25" customHeight="1" x14ac:dyDescent="0.45">
      <c r="A87" s="498"/>
      <c r="B87" s="719" t="s">
        <v>248</v>
      </c>
      <c r="C87" s="630"/>
      <c r="D87" s="42"/>
      <c r="E87" s="42"/>
      <c r="F87" s="41"/>
      <c r="G87" s="42"/>
      <c r="H87" s="42"/>
      <c r="I87" s="42">
        <v>8</v>
      </c>
      <c r="J87" s="660">
        <v>1500</v>
      </c>
      <c r="K87" s="683">
        <f>J87*I87</f>
        <v>12000</v>
      </c>
    </row>
    <row r="88" spans="1:11" ht="17.25" customHeight="1" x14ac:dyDescent="0.45">
      <c r="A88" s="498"/>
      <c r="B88" s="719" t="s">
        <v>1015</v>
      </c>
      <c r="C88" s="630"/>
      <c r="D88" s="42"/>
      <c r="E88" s="42"/>
      <c r="F88" s="41"/>
      <c r="G88" s="42"/>
      <c r="H88" s="42"/>
      <c r="I88" s="42">
        <v>20</v>
      </c>
      <c r="J88" s="660">
        <v>500</v>
      </c>
      <c r="K88" s="683">
        <f>J88*I88</f>
        <v>10000</v>
      </c>
    </row>
    <row r="89" spans="1:11" ht="17.25" customHeight="1" x14ac:dyDescent="0.45">
      <c r="A89" s="498"/>
      <c r="B89" s="719"/>
      <c r="C89" s="630"/>
      <c r="D89" s="41"/>
      <c r="E89" s="41"/>
      <c r="F89" s="41"/>
      <c r="G89" s="42"/>
      <c r="H89" s="42"/>
      <c r="I89" s="42"/>
      <c r="J89" s="658"/>
      <c r="K89" s="681"/>
    </row>
    <row r="90" spans="1:11" ht="17.25" customHeight="1" x14ac:dyDescent="0.45">
      <c r="A90" s="498"/>
      <c r="B90" s="721" t="s">
        <v>1016</v>
      </c>
      <c r="C90" s="630"/>
      <c r="D90" s="41"/>
      <c r="E90" s="41"/>
      <c r="F90" s="41"/>
      <c r="G90" s="42"/>
      <c r="H90" s="42"/>
      <c r="I90" s="42"/>
      <c r="J90" s="658"/>
      <c r="K90" s="681"/>
    </row>
    <row r="91" spans="1:11" ht="21" x14ac:dyDescent="0.45">
      <c r="A91" s="498"/>
      <c r="B91" s="723" t="s">
        <v>970</v>
      </c>
      <c r="C91" s="709"/>
      <c r="D91" s="625"/>
      <c r="E91" s="625"/>
      <c r="F91" s="625"/>
      <c r="G91" s="626"/>
      <c r="H91" s="626"/>
      <c r="I91" s="626"/>
      <c r="J91" s="661"/>
      <c r="K91" s="684">
        <f>K92+K156+K179</f>
        <v>14804790</v>
      </c>
    </row>
    <row r="92" spans="1:11" ht="21" x14ac:dyDescent="0.45">
      <c r="A92" s="498"/>
      <c r="B92" s="724" t="s">
        <v>1017</v>
      </c>
      <c r="C92" s="630"/>
      <c r="D92" s="627"/>
      <c r="E92" s="41"/>
      <c r="F92" s="41"/>
      <c r="G92" s="42"/>
      <c r="H92" s="220"/>
      <c r="I92" s="220"/>
      <c r="J92" s="662"/>
      <c r="K92" s="685">
        <f>K93+K101+K109+K119+K125+K131+K140+K146</f>
        <v>4158150</v>
      </c>
    </row>
    <row r="93" spans="1:11" ht="21" x14ac:dyDescent="0.45">
      <c r="A93" s="498"/>
      <c r="B93" s="725" t="s">
        <v>1018</v>
      </c>
      <c r="C93" s="630"/>
      <c r="D93" s="627"/>
      <c r="E93" s="41"/>
      <c r="F93" s="41"/>
      <c r="G93" s="42"/>
      <c r="H93" s="220"/>
      <c r="I93" s="220"/>
      <c r="J93" s="662"/>
      <c r="K93" s="685">
        <f>SUM(K94:K99)</f>
        <v>196800</v>
      </c>
    </row>
    <row r="94" spans="1:11" ht="21" x14ac:dyDescent="0.45">
      <c r="A94" s="498"/>
      <c r="B94" s="726" t="s">
        <v>1019</v>
      </c>
      <c r="C94" s="630"/>
      <c r="D94" s="627"/>
      <c r="E94" s="41"/>
      <c r="F94" s="41"/>
      <c r="G94" s="42"/>
      <c r="H94" s="220">
        <v>4</v>
      </c>
      <c r="I94" s="220" t="s">
        <v>7</v>
      </c>
      <c r="J94" s="662">
        <v>10000</v>
      </c>
      <c r="K94" s="685">
        <f>H94*J94</f>
        <v>40000</v>
      </c>
    </row>
    <row r="95" spans="1:11" ht="21" x14ac:dyDescent="0.45">
      <c r="A95" s="498"/>
      <c r="B95" s="726" t="s">
        <v>1020</v>
      </c>
      <c r="C95" s="630"/>
      <c r="D95" s="627"/>
      <c r="E95" s="41"/>
      <c r="F95" s="41"/>
      <c r="G95" s="42"/>
      <c r="H95" s="220">
        <v>200</v>
      </c>
      <c r="I95" s="220" t="s">
        <v>6</v>
      </c>
      <c r="J95" s="662">
        <v>500</v>
      </c>
      <c r="K95" s="685">
        <f>J95*H95</f>
        <v>100000</v>
      </c>
    </row>
    <row r="96" spans="1:11" ht="21" x14ac:dyDescent="0.45">
      <c r="A96" s="498"/>
      <c r="B96" s="726" t="s">
        <v>1021</v>
      </c>
      <c r="C96" s="630"/>
      <c r="D96" s="627"/>
      <c r="E96" s="41"/>
      <c r="F96" s="41"/>
      <c r="G96" s="42"/>
      <c r="H96" s="220">
        <v>400</v>
      </c>
      <c r="I96" s="220" t="s">
        <v>6</v>
      </c>
      <c r="J96" s="662">
        <v>50</v>
      </c>
      <c r="K96" s="685">
        <f>J96*H96</f>
        <v>20000</v>
      </c>
    </row>
    <row r="97" spans="1:11" ht="21" x14ac:dyDescent="0.45">
      <c r="A97" s="498"/>
      <c r="B97" s="726" t="s">
        <v>1022</v>
      </c>
      <c r="C97" s="630"/>
      <c r="D97" s="627"/>
      <c r="E97" s="41"/>
      <c r="F97" s="41"/>
      <c r="G97" s="42"/>
      <c r="H97" s="220">
        <v>3</v>
      </c>
      <c r="I97" s="220" t="s">
        <v>1023</v>
      </c>
      <c r="J97" s="662">
        <v>1200</v>
      </c>
      <c r="K97" s="685">
        <f>J97*H97</f>
        <v>3600</v>
      </c>
    </row>
    <row r="98" spans="1:11" ht="21" x14ac:dyDescent="0.45">
      <c r="A98" s="498"/>
      <c r="B98" s="726" t="s">
        <v>1024</v>
      </c>
      <c r="C98" s="630"/>
      <c r="D98" s="627"/>
      <c r="E98" s="41"/>
      <c r="F98" s="41"/>
      <c r="G98" s="42"/>
      <c r="H98" s="220">
        <v>16</v>
      </c>
      <c r="I98" s="220" t="s">
        <v>1023</v>
      </c>
      <c r="J98" s="662">
        <v>1200</v>
      </c>
      <c r="K98" s="685">
        <f>J98*H98</f>
        <v>19200</v>
      </c>
    </row>
    <row r="99" spans="1:11" ht="21" x14ac:dyDescent="0.45">
      <c r="A99" s="498"/>
      <c r="B99" s="726" t="s">
        <v>1025</v>
      </c>
      <c r="C99" s="630"/>
      <c r="D99" s="627"/>
      <c r="E99" s="41"/>
      <c r="F99" s="41"/>
      <c r="G99" s="42"/>
      <c r="H99" s="220">
        <v>200</v>
      </c>
      <c r="I99" s="220" t="s">
        <v>8</v>
      </c>
      <c r="J99" s="662">
        <v>70</v>
      </c>
      <c r="K99" s="685">
        <f>J99*H99</f>
        <v>14000</v>
      </c>
    </row>
    <row r="100" spans="1:11" ht="21" x14ac:dyDescent="0.45">
      <c r="A100" s="498"/>
      <c r="B100" s="726"/>
      <c r="C100" s="630"/>
      <c r="D100" s="627"/>
      <c r="E100" s="41"/>
      <c r="F100" s="41"/>
      <c r="G100" s="42"/>
      <c r="H100" s="220"/>
      <c r="I100" s="220"/>
      <c r="J100" s="662"/>
      <c r="K100" s="686"/>
    </row>
    <row r="101" spans="1:11" s="631" customFormat="1" x14ac:dyDescent="0.3">
      <c r="A101" s="498"/>
      <c r="B101" s="727" t="s">
        <v>1026</v>
      </c>
      <c r="C101" s="710"/>
      <c r="D101" s="629"/>
      <c r="E101" s="624"/>
      <c r="F101" s="624"/>
      <c r="G101" s="189"/>
      <c r="H101" s="200"/>
      <c r="I101" s="200"/>
      <c r="J101" s="663"/>
      <c r="K101" s="687">
        <f>SUM(K102:K107)</f>
        <v>196800</v>
      </c>
    </row>
    <row r="102" spans="1:11" ht="21" x14ac:dyDescent="0.45">
      <c r="A102" s="498"/>
      <c r="B102" s="726" t="s">
        <v>1019</v>
      </c>
      <c r="C102" s="630"/>
      <c r="D102" s="627"/>
      <c r="E102" s="41"/>
      <c r="F102" s="41"/>
      <c r="G102" s="42"/>
      <c r="H102" s="220">
        <v>4</v>
      </c>
      <c r="I102" s="220" t="s">
        <v>7</v>
      </c>
      <c r="J102" s="662">
        <v>10000</v>
      </c>
      <c r="K102" s="685">
        <f t="shared" ref="K102:K107" si="3">J102*H102</f>
        <v>40000</v>
      </c>
    </row>
    <row r="103" spans="1:11" ht="21" x14ac:dyDescent="0.45">
      <c r="A103" s="498"/>
      <c r="B103" s="726" t="s">
        <v>1020</v>
      </c>
      <c r="C103" s="630"/>
      <c r="D103" s="627"/>
      <c r="E103" s="41"/>
      <c r="F103" s="41"/>
      <c r="G103" s="42"/>
      <c r="H103" s="220">
        <v>200</v>
      </c>
      <c r="I103" s="220" t="s">
        <v>6</v>
      </c>
      <c r="J103" s="662">
        <v>500</v>
      </c>
      <c r="K103" s="685">
        <f t="shared" si="3"/>
        <v>100000</v>
      </c>
    </row>
    <row r="104" spans="1:11" ht="21" x14ac:dyDescent="0.45">
      <c r="A104" s="498"/>
      <c r="B104" s="726" t="s">
        <v>1021</v>
      </c>
      <c r="C104" s="630"/>
      <c r="D104" s="627"/>
      <c r="E104" s="41"/>
      <c r="F104" s="41"/>
      <c r="G104" s="42"/>
      <c r="H104" s="220">
        <v>400</v>
      </c>
      <c r="I104" s="220" t="s">
        <v>6</v>
      </c>
      <c r="J104" s="662">
        <v>50</v>
      </c>
      <c r="K104" s="685">
        <f t="shared" si="3"/>
        <v>20000</v>
      </c>
    </row>
    <row r="105" spans="1:11" ht="21" x14ac:dyDescent="0.45">
      <c r="A105" s="498"/>
      <c r="B105" s="726" t="s">
        <v>1022</v>
      </c>
      <c r="C105" s="630"/>
      <c r="D105" s="627"/>
      <c r="E105" s="41"/>
      <c r="F105" s="41"/>
      <c r="G105" s="42"/>
      <c r="H105" s="220">
        <v>3</v>
      </c>
      <c r="I105" s="220" t="s">
        <v>1023</v>
      </c>
      <c r="J105" s="662">
        <v>1200</v>
      </c>
      <c r="K105" s="685">
        <f t="shared" si="3"/>
        <v>3600</v>
      </c>
    </row>
    <row r="106" spans="1:11" ht="25.5" customHeight="1" x14ac:dyDescent="0.45">
      <c r="A106" s="498"/>
      <c r="B106" s="726" t="s">
        <v>1024</v>
      </c>
      <c r="C106" s="630"/>
      <c r="D106" s="627"/>
      <c r="E106" s="41"/>
      <c r="F106" s="41"/>
      <c r="G106" s="42"/>
      <c r="H106" s="220">
        <v>16</v>
      </c>
      <c r="I106" s="220" t="s">
        <v>1023</v>
      </c>
      <c r="J106" s="662">
        <v>1200</v>
      </c>
      <c r="K106" s="685">
        <f t="shared" si="3"/>
        <v>19200</v>
      </c>
    </row>
    <row r="107" spans="1:11" ht="21" x14ac:dyDescent="0.45">
      <c r="A107" s="498"/>
      <c r="B107" s="726" t="s">
        <v>1025</v>
      </c>
      <c r="C107" s="630"/>
      <c r="D107" s="627"/>
      <c r="E107" s="41"/>
      <c r="F107" s="41"/>
      <c r="G107" s="42"/>
      <c r="H107" s="220">
        <v>200</v>
      </c>
      <c r="I107" s="220" t="s">
        <v>8</v>
      </c>
      <c r="J107" s="662">
        <v>70</v>
      </c>
      <c r="K107" s="685">
        <f t="shared" si="3"/>
        <v>14000</v>
      </c>
    </row>
    <row r="108" spans="1:11" ht="21" x14ac:dyDescent="0.45">
      <c r="A108" s="498"/>
      <c r="B108" s="726"/>
      <c r="C108" s="630"/>
      <c r="D108" s="627"/>
      <c r="E108" s="41"/>
      <c r="F108" s="41"/>
      <c r="G108" s="42"/>
      <c r="H108" s="220"/>
      <c r="I108" s="220"/>
      <c r="J108" s="662"/>
      <c r="K108" s="686"/>
    </row>
    <row r="109" spans="1:11" ht="21" x14ac:dyDescent="0.45">
      <c r="A109" s="498"/>
      <c r="B109" s="725" t="s">
        <v>1027</v>
      </c>
      <c r="C109" s="630"/>
      <c r="D109" s="627"/>
      <c r="E109" s="41"/>
      <c r="F109" s="41"/>
      <c r="G109" s="42"/>
      <c r="H109" s="220"/>
      <c r="I109" s="220"/>
      <c r="J109" s="662"/>
      <c r="K109" s="685">
        <f>SUM(K110:K117)</f>
        <v>348700</v>
      </c>
    </row>
    <row r="110" spans="1:11" ht="21" x14ac:dyDescent="0.45">
      <c r="A110" s="498"/>
      <c r="B110" s="726" t="s">
        <v>1028</v>
      </c>
      <c r="C110" s="630"/>
      <c r="D110" s="627"/>
      <c r="E110" s="41"/>
      <c r="F110" s="41"/>
      <c r="G110" s="42"/>
      <c r="H110" s="220">
        <v>100</v>
      </c>
      <c r="I110" s="220" t="s">
        <v>6</v>
      </c>
      <c r="J110" s="662">
        <v>500</v>
      </c>
      <c r="K110" s="685">
        <f t="shared" ref="K110:K117" si="4">J110*H110</f>
        <v>50000</v>
      </c>
    </row>
    <row r="111" spans="1:11" ht="21" x14ac:dyDescent="0.45">
      <c r="A111" s="498"/>
      <c r="B111" s="726" t="s">
        <v>1029</v>
      </c>
      <c r="C111" s="630"/>
      <c r="D111" s="627"/>
      <c r="E111" s="41"/>
      <c r="F111" s="41"/>
      <c r="G111" s="42"/>
      <c r="H111" s="220">
        <v>100</v>
      </c>
      <c r="I111" s="220" t="s">
        <v>6</v>
      </c>
      <c r="J111" s="662">
        <v>800</v>
      </c>
      <c r="K111" s="685">
        <f t="shared" si="4"/>
        <v>80000</v>
      </c>
    </row>
    <row r="112" spans="1:11" ht="21" x14ac:dyDescent="0.45">
      <c r="A112" s="498"/>
      <c r="B112" s="726" t="s">
        <v>1030</v>
      </c>
      <c r="C112" s="630"/>
      <c r="D112" s="627"/>
      <c r="E112" s="41"/>
      <c r="F112" s="41"/>
      <c r="G112" s="42"/>
      <c r="H112" s="220">
        <v>400</v>
      </c>
      <c r="I112" s="220" t="s">
        <v>6</v>
      </c>
      <c r="J112" s="662">
        <v>50</v>
      </c>
      <c r="K112" s="685">
        <f t="shared" si="4"/>
        <v>20000</v>
      </c>
    </row>
    <row r="113" spans="1:11" ht="21" x14ac:dyDescent="0.45">
      <c r="A113" s="498"/>
      <c r="B113" s="726" t="s">
        <v>1031</v>
      </c>
      <c r="C113" s="630"/>
      <c r="D113" s="627"/>
      <c r="E113" s="41"/>
      <c r="F113" s="41"/>
      <c r="G113" s="42"/>
      <c r="H113" s="220">
        <v>200</v>
      </c>
      <c r="I113" s="220" t="s">
        <v>8</v>
      </c>
      <c r="J113" s="662">
        <v>70</v>
      </c>
      <c r="K113" s="685">
        <f t="shared" si="4"/>
        <v>14000</v>
      </c>
    </row>
    <row r="114" spans="1:11" ht="21" x14ac:dyDescent="0.45">
      <c r="A114" s="498"/>
      <c r="B114" s="726" t="s">
        <v>1032</v>
      </c>
      <c r="C114" s="630"/>
      <c r="D114" s="627"/>
      <c r="E114" s="41"/>
      <c r="F114" s="41"/>
      <c r="G114" s="42"/>
      <c r="H114" s="220">
        <v>16</v>
      </c>
      <c r="I114" s="220" t="s">
        <v>26</v>
      </c>
      <c r="J114" s="662">
        <v>2500</v>
      </c>
      <c r="K114" s="685">
        <f t="shared" si="4"/>
        <v>40000</v>
      </c>
    </row>
    <row r="115" spans="1:11" ht="21" x14ac:dyDescent="0.45">
      <c r="A115" s="498"/>
      <c r="B115" s="726" t="s">
        <v>1033</v>
      </c>
      <c r="C115" s="630"/>
      <c r="D115" s="627"/>
      <c r="E115" s="41"/>
      <c r="F115" s="41"/>
      <c r="G115" s="42"/>
      <c r="H115" s="220">
        <v>56</v>
      </c>
      <c r="I115" s="220" t="s">
        <v>1023</v>
      </c>
      <c r="J115" s="662">
        <v>1200</v>
      </c>
      <c r="K115" s="685">
        <f t="shared" si="4"/>
        <v>67200</v>
      </c>
    </row>
    <row r="116" spans="1:11" ht="21" x14ac:dyDescent="0.45">
      <c r="A116" s="498"/>
      <c r="B116" s="726" t="s">
        <v>1034</v>
      </c>
      <c r="C116" s="630"/>
      <c r="D116" s="627"/>
      <c r="E116" s="41"/>
      <c r="F116" s="41"/>
      <c r="G116" s="42"/>
      <c r="H116" s="220">
        <v>50</v>
      </c>
      <c r="I116" s="220" t="s">
        <v>14</v>
      </c>
      <c r="J116" s="662">
        <v>750</v>
      </c>
      <c r="K116" s="685">
        <f t="shared" si="4"/>
        <v>37500</v>
      </c>
    </row>
    <row r="117" spans="1:11" ht="21" x14ac:dyDescent="0.45">
      <c r="A117" s="498"/>
      <c r="B117" s="726" t="s">
        <v>1019</v>
      </c>
      <c r="C117" s="630"/>
      <c r="D117" s="627"/>
      <c r="E117" s="41"/>
      <c r="F117" s="41"/>
      <c r="G117" s="42"/>
      <c r="H117" s="220">
        <v>4</v>
      </c>
      <c r="I117" s="220" t="s">
        <v>7</v>
      </c>
      <c r="J117" s="662">
        <v>10000</v>
      </c>
      <c r="K117" s="685">
        <f t="shared" si="4"/>
        <v>40000</v>
      </c>
    </row>
    <row r="118" spans="1:11" ht="21" x14ac:dyDescent="0.45">
      <c r="A118" s="498"/>
      <c r="B118" s="726"/>
      <c r="C118" s="630"/>
      <c r="D118" s="627"/>
      <c r="E118" s="41"/>
      <c r="F118" s="41"/>
      <c r="G118" s="42"/>
      <c r="H118" s="220"/>
      <c r="I118" s="220"/>
      <c r="J118" s="662"/>
      <c r="K118" s="686"/>
    </row>
    <row r="119" spans="1:11" ht="21" x14ac:dyDescent="0.45">
      <c r="A119" s="498"/>
      <c r="B119" s="725" t="s">
        <v>1035</v>
      </c>
      <c r="C119" s="630"/>
      <c r="D119" s="627"/>
      <c r="E119" s="41"/>
      <c r="F119" s="41"/>
      <c r="G119" s="42"/>
      <c r="H119" s="220"/>
      <c r="I119" s="220"/>
      <c r="J119" s="662"/>
      <c r="K119" s="685">
        <f>SUM(K120:K123)</f>
        <v>2047000</v>
      </c>
    </row>
    <row r="120" spans="1:11" ht="21" x14ac:dyDescent="0.45">
      <c r="A120" s="498"/>
      <c r="B120" s="726" t="s">
        <v>1036</v>
      </c>
      <c r="C120" s="630"/>
      <c r="D120" s="627"/>
      <c r="E120" s="41"/>
      <c r="F120" s="41"/>
      <c r="G120" s="42"/>
      <c r="H120" s="220">
        <v>400</v>
      </c>
      <c r="I120" s="220" t="s">
        <v>26</v>
      </c>
      <c r="J120" s="662">
        <v>2500</v>
      </c>
      <c r="K120" s="685">
        <f>J120*H120</f>
        <v>1000000</v>
      </c>
    </row>
    <row r="121" spans="1:11" ht="21" x14ac:dyDescent="0.45">
      <c r="A121" s="498"/>
      <c r="B121" s="726" t="s">
        <v>1037</v>
      </c>
      <c r="C121" s="630"/>
      <c r="D121" s="627"/>
      <c r="E121" s="41"/>
      <c r="F121" s="41"/>
      <c r="G121" s="42"/>
      <c r="H121" s="220">
        <v>112</v>
      </c>
      <c r="I121" s="220" t="s">
        <v>33</v>
      </c>
      <c r="J121" s="662">
        <v>5000</v>
      </c>
      <c r="K121" s="685">
        <f>J121*H121</f>
        <v>560000</v>
      </c>
    </row>
    <row r="122" spans="1:11" ht="21" x14ac:dyDescent="0.45">
      <c r="A122" s="498"/>
      <c r="B122" s="726" t="s">
        <v>1038</v>
      </c>
      <c r="C122" s="630"/>
      <c r="D122" s="627"/>
      <c r="E122" s="41"/>
      <c r="F122" s="41"/>
      <c r="G122" s="42"/>
      <c r="H122" s="220">
        <v>400</v>
      </c>
      <c r="I122" s="220" t="s">
        <v>34</v>
      </c>
      <c r="J122" s="662">
        <v>1200</v>
      </c>
      <c r="K122" s="685">
        <f>J122*H122</f>
        <v>480000</v>
      </c>
    </row>
    <row r="123" spans="1:11" ht="21" x14ac:dyDescent="0.45">
      <c r="A123" s="498"/>
      <c r="B123" s="726" t="s">
        <v>1039</v>
      </c>
      <c r="C123" s="630"/>
      <c r="D123" s="627"/>
      <c r="E123" s="41"/>
      <c r="F123" s="41"/>
      <c r="G123" s="42"/>
      <c r="H123" s="220">
        <v>100</v>
      </c>
      <c r="I123" s="220" t="s">
        <v>8</v>
      </c>
      <c r="J123" s="662">
        <v>70</v>
      </c>
      <c r="K123" s="685">
        <f>J123*H123</f>
        <v>7000</v>
      </c>
    </row>
    <row r="124" spans="1:11" ht="21" x14ac:dyDescent="0.45">
      <c r="A124" s="498">
        <v>2.4</v>
      </c>
      <c r="B124" s="726"/>
      <c r="C124" s="630"/>
      <c r="D124" s="627"/>
      <c r="E124" s="41"/>
      <c r="F124" s="41"/>
      <c r="G124" s="42"/>
      <c r="H124" s="220"/>
      <c r="I124" s="220"/>
      <c r="J124" s="662"/>
      <c r="K124" s="686"/>
    </row>
    <row r="125" spans="1:11" ht="21" x14ac:dyDescent="0.45">
      <c r="A125" s="498"/>
      <c r="B125" s="725" t="s">
        <v>1040</v>
      </c>
      <c r="C125" s="630"/>
      <c r="D125" s="627"/>
      <c r="E125" s="41"/>
      <c r="F125" s="41"/>
      <c r="G125" s="42"/>
      <c r="H125" s="220"/>
      <c r="I125" s="220"/>
      <c r="J125" s="662"/>
      <c r="K125" s="685">
        <f>SUM(K126:K129)</f>
        <v>907000</v>
      </c>
    </row>
    <row r="126" spans="1:11" ht="21" x14ac:dyDescent="0.45">
      <c r="A126" s="498"/>
      <c r="B126" s="726" t="s">
        <v>1041</v>
      </c>
      <c r="C126" s="630"/>
      <c r="D126" s="627"/>
      <c r="E126" s="41"/>
      <c r="F126" s="41"/>
      <c r="G126" s="42"/>
      <c r="H126" s="220">
        <v>200</v>
      </c>
      <c r="I126" s="220" t="s">
        <v>26</v>
      </c>
      <c r="J126" s="662">
        <v>2500</v>
      </c>
      <c r="K126" s="685">
        <f>J126*H126</f>
        <v>500000</v>
      </c>
    </row>
    <row r="127" spans="1:11" ht="21" x14ac:dyDescent="0.45">
      <c r="A127" s="498"/>
      <c r="B127" s="726" t="s">
        <v>1042</v>
      </c>
      <c r="C127" s="630"/>
      <c r="D127" s="627"/>
      <c r="E127" s="41"/>
      <c r="F127" s="41"/>
      <c r="G127" s="42"/>
      <c r="H127" s="220">
        <v>56</v>
      </c>
      <c r="I127" s="220" t="s">
        <v>33</v>
      </c>
      <c r="J127" s="662">
        <v>5000</v>
      </c>
      <c r="K127" s="685">
        <f>J127*H127</f>
        <v>280000</v>
      </c>
    </row>
    <row r="128" spans="1:11" ht="21" x14ac:dyDescent="0.45">
      <c r="A128" s="498"/>
      <c r="B128" s="726" t="s">
        <v>1043</v>
      </c>
      <c r="C128" s="630"/>
      <c r="D128" s="627"/>
      <c r="E128" s="41"/>
      <c r="F128" s="41"/>
      <c r="G128" s="42"/>
      <c r="H128" s="220">
        <v>100</v>
      </c>
      <c r="I128" s="220" t="s">
        <v>34</v>
      </c>
      <c r="J128" s="662">
        <v>1200</v>
      </c>
      <c r="K128" s="685">
        <f>J128*H128</f>
        <v>120000</v>
      </c>
    </row>
    <row r="129" spans="1:11" ht="21" x14ac:dyDescent="0.45">
      <c r="A129" s="498"/>
      <c r="B129" s="726" t="s">
        <v>1039</v>
      </c>
      <c r="C129" s="630"/>
      <c r="D129" s="627"/>
      <c r="E129" s="41"/>
      <c r="F129" s="41"/>
      <c r="G129" s="42"/>
      <c r="H129" s="220">
        <v>100</v>
      </c>
      <c r="I129" s="220" t="s">
        <v>8</v>
      </c>
      <c r="J129" s="662">
        <v>70</v>
      </c>
      <c r="K129" s="685">
        <f>J129*H129</f>
        <v>7000</v>
      </c>
    </row>
    <row r="130" spans="1:11" ht="21" x14ac:dyDescent="0.45">
      <c r="A130" s="498"/>
      <c r="B130" s="726"/>
      <c r="C130" s="630"/>
      <c r="D130" s="627"/>
      <c r="E130" s="41"/>
      <c r="F130" s="41"/>
      <c r="G130" s="42"/>
      <c r="H130" s="220"/>
      <c r="I130" s="220"/>
      <c r="J130" s="662"/>
      <c r="K130" s="686"/>
    </row>
    <row r="131" spans="1:11" ht="21" x14ac:dyDescent="0.45">
      <c r="A131" s="498"/>
      <c r="B131" s="725" t="s">
        <v>1044</v>
      </c>
      <c r="C131" s="630"/>
      <c r="D131" s="627"/>
      <c r="E131" s="41"/>
      <c r="F131" s="41"/>
      <c r="G131" s="42"/>
      <c r="H131" s="220"/>
      <c r="I131" s="220"/>
      <c r="J131" s="662"/>
      <c r="K131" s="685">
        <f>SUM(K132:K138)</f>
        <v>346800</v>
      </c>
    </row>
    <row r="132" spans="1:11" ht="21" x14ac:dyDescent="0.45">
      <c r="A132" s="498"/>
      <c r="B132" s="726" t="s">
        <v>1019</v>
      </c>
      <c r="C132" s="630"/>
      <c r="D132" s="627"/>
      <c r="E132" s="41"/>
      <c r="F132" s="41"/>
      <c r="G132" s="42"/>
      <c r="H132" s="220">
        <v>4</v>
      </c>
      <c r="I132" s="220" t="s">
        <v>7</v>
      </c>
      <c r="J132" s="662">
        <v>10000</v>
      </c>
      <c r="K132" s="685">
        <f>J132*H132</f>
        <v>40000</v>
      </c>
    </row>
    <row r="133" spans="1:11" ht="21" x14ac:dyDescent="0.45">
      <c r="A133" s="498"/>
      <c r="B133" s="726" t="s">
        <v>1020</v>
      </c>
      <c r="C133" s="630"/>
      <c r="D133" s="627"/>
      <c r="E133" s="41"/>
      <c r="F133" s="41"/>
      <c r="G133" s="42"/>
      <c r="H133" s="220">
        <v>200</v>
      </c>
      <c r="I133" s="220" t="s">
        <v>6</v>
      </c>
      <c r="J133" s="662">
        <v>500</v>
      </c>
      <c r="K133" s="685">
        <f t="shared" ref="K133:K138" si="5">J133*H133</f>
        <v>100000</v>
      </c>
    </row>
    <row r="134" spans="1:11" ht="21" x14ac:dyDescent="0.45">
      <c r="A134" s="498"/>
      <c r="B134" s="726" t="s">
        <v>1021</v>
      </c>
      <c r="C134" s="630"/>
      <c r="D134" s="627"/>
      <c r="E134" s="41"/>
      <c r="F134" s="41"/>
      <c r="G134" s="42"/>
      <c r="H134" s="220">
        <v>400</v>
      </c>
      <c r="I134" s="220" t="s">
        <v>6</v>
      </c>
      <c r="J134" s="662">
        <v>50</v>
      </c>
      <c r="K134" s="685">
        <f t="shared" si="5"/>
        <v>20000</v>
      </c>
    </row>
    <row r="135" spans="1:11" ht="21" x14ac:dyDescent="0.45">
      <c r="A135" s="498"/>
      <c r="B135" s="726" t="s">
        <v>1022</v>
      </c>
      <c r="C135" s="630"/>
      <c r="D135" s="627"/>
      <c r="E135" s="41"/>
      <c r="F135" s="41"/>
      <c r="G135" s="42"/>
      <c r="H135" s="220">
        <v>3</v>
      </c>
      <c r="I135" s="220" t="s">
        <v>1023</v>
      </c>
      <c r="J135" s="662">
        <v>1200</v>
      </c>
      <c r="K135" s="685">
        <f t="shared" si="5"/>
        <v>3600</v>
      </c>
    </row>
    <row r="136" spans="1:11" ht="21" x14ac:dyDescent="0.45">
      <c r="A136" s="498"/>
      <c r="B136" s="726" t="s">
        <v>1024</v>
      </c>
      <c r="C136" s="630"/>
      <c r="D136" s="627"/>
      <c r="E136" s="41"/>
      <c r="F136" s="41"/>
      <c r="G136" s="42"/>
      <c r="H136" s="220">
        <v>16</v>
      </c>
      <c r="I136" s="220" t="s">
        <v>1023</v>
      </c>
      <c r="J136" s="662">
        <v>1200</v>
      </c>
      <c r="K136" s="685">
        <f t="shared" si="5"/>
        <v>19200</v>
      </c>
    </row>
    <row r="137" spans="1:11" ht="21" x14ac:dyDescent="0.45">
      <c r="A137" s="498"/>
      <c r="B137" s="726" t="s">
        <v>1025</v>
      </c>
      <c r="C137" s="630"/>
      <c r="D137" s="627"/>
      <c r="E137" s="41"/>
      <c r="F137" s="41"/>
      <c r="G137" s="42"/>
      <c r="H137" s="220">
        <v>200</v>
      </c>
      <c r="I137" s="220" t="s">
        <v>8</v>
      </c>
      <c r="J137" s="662">
        <v>70</v>
      </c>
      <c r="K137" s="685">
        <f t="shared" si="5"/>
        <v>14000</v>
      </c>
    </row>
    <row r="138" spans="1:11" ht="21" x14ac:dyDescent="0.45">
      <c r="A138" s="498"/>
      <c r="B138" s="726" t="s">
        <v>1045</v>
      </c>
      <c r="C138" s="630"/>
      <c r="D138" s="627"/>
      <c r="E138" s="41"/>
      <c r="F138" s="41"/>
      <c r="G138" s="42"/>
      <c r="H138" s="220">
        <v>100</v>
      </c>
      <c r="I138" s="220" t="s">
        <v>946</v>
      </c>
      <c r="J138" s="662">
        <v>1500</v>
      </c>
      <c r="K138" s="685">
        <f t="shared" si="5"/>
        <v>150000</v>
      </c>
    </row>
    <row r="139" spans="1:11" ht="21" x14ac:dyDescent="0.45">
      <c r="A139" s="498"/>
      <c r="B139" s="726"/>
      <c r="C139" s="630"/>
      <c r="D139" s="627"/>
      <c r="E139" s="41"/>
      <c r="F139" s="41"/>
      <c r="G139" s="42"/>
      <c r="H139" s="220"/>
      <c r="I139" s="220"/>
      <c r="J139" s="662"/>
      <c r="K139" s="686"/>
    </row>
    <row r="140" spans="1:11" ht="21" x14ac:dyDescent="0.45">
      <c r="A140" s="498"/>
      <c r="B140" s="725" t="s">
        <v>1046</v>
      </c>
      <c r="C140" s="630"/>
      <c r="D140" s="627"/>
      <c r="E140" s="41"/>
      <c r="F140" s="41"/>
      <c r="G140" s="42"/>
      <c r="H140" s="220"/>
      <c r="I140" s="220"/>
      <c r="J140" s="662"/>
      <c r="K140" s="685">
        <f>SUM(K141:K144)</f>
        <v>61450</v>
      </c>
    </row>
    <row r="141" spans="1:11" ht="21" x14ac:dyDescent="0.45">
      <c r="A141" s="498"/>
      <c r="B141" s="726" t="s">
        <v>1047</v>
      </c>
      <c r="C141" s="630"/>
      <c r="D141" s="627"/>
      <c r="E141" s="41"/>
      <c r="F141" s="41"/>
      <c r="G141" s="42"/>
      <c r="H141" s="220"/>
      <c r="I141" s="220"/>
      <c r="J141" s="662" t="s">
        <v>41</v>
      </c>
      <c r="K141" s="685">
        <v>50000</v>
      </c>
    </row>
    <row r="142" spans="1:11" ht="21" x14ac:dyDescent="0.45">
      <c r="A142" s="498"/>
      <c r="B142" s="726" t="s">
        <v>1048</v>
      </c>
      <c r="C142" s="630"/>
      <c r="D142" s="627"/>
      <c r="E142" s="41"/>
      <c r="F142" s="41"/>
      <c r="G142" s="42"/>
      <c r="H142" s="220">
        <v>200</v>
      </c>
      <c r="I142" s="220" t="s">
        <v>40</v>
      </c>
      <c r="J142" s="662">
        <v>7</v>
      </c>
      <c r="K142" s="685">
        <f>J142*H142</f>
        <v>1400</v>
      </c>
    </row>
    <row r="143" spans="1:11" ht="21" x14ac:dyDescent="0.45">
      <c r="A143" s="498"/>
      <c r="B143" s="726" t="s">
        <v>1049</v>
      </c>
      <c r="C143" s="630"/>
      <c r="D143" s="627"/>
      <c r="E143" s="41"/>
      <c r="F143" s="41"/>
      <c r="G143" s="42"/>
      <c r="H143" s="220">
        <v>4</v>
      </c>
      <c r="I143" s="220" t="s">
        <v>40</v>
      </c>
      <c r="J143" s="662">
        <v>2100</v>
      </c>
      <c r="K143" s="685">
        <f>J143*H143</f>
        <v>8400</v>
      </c>
    </row>
    <row r="144" spans="1:11" ht="21" x14ac:dyDescent="0.45">
      <c r="A144" s="498"/>
      <c r="B144" s="726" t="s">
        <v>1050</v>
      </c>
      <c r="C144" s="630"/>
      <c r="D144" s="627"/>
      <c r="E144" s="41"/>
      <c r="F144" s="41"/>
      <c r="G144" s="42"/>
      <c r="H144" s="220">
        <v>150</v>
      </c>
      <c r="I144" s="220" t="s">
        <v>8</v>
      </c>
      <c r="J144" s="662">
        <v>11</v>
      </c>
      <c r="K144" s="685">
        <f>J144*H144</f>
        <v>1650</v>
      </c>
    </row>
    <row r="145" spans="1:11" ht="21" x14ac:dyDescent="0.45">
      <c r="A145" s="498"/>
      <c r="B145" s="726"/>
      <c r="C145" s="630"/>
      <c r="D145" s="627"/>
      <c r="E145" s="41"/>
      <c r="F145" s="41"/>
      <c r="G145" s="42"/>
      <c r="H145" s="220"/>
      <c r="I145" s="220"/>
      <c r="J145" s="662"/>
      <c r="K145" s="686"/>
    </row>
    <row r="146" spans="1:11" ht="21" x14ac:dyDescent="0.45">
      <c r="A146" s="498"/>
      <c r="B146" s="725" t="s">
        <v>1051</v>
      </c>
      <c r="C146" s="630"/>
      <c r="D146" s="627"/>
      <c r="E146" s="41"/>
      <c r="F146" s="41"/>
      <c r="G146" s="42"/>
      <c r="H146" s="220"/>
      <c r="I146" s="220"/>
      <c r="J146" s="662"/>
      <c r="K146" s="685">
        <f>SUM(K147:K154)</f>
        <v>53600</v>
      </c>
    </row>
    <row r="147" spans="1:11" ht="21" x14ac:dyDescent="0.45">
      <c r="A147" s="498"/>
      <c r="B147" s="726" t="s">
        <v>1052</v>
      </c>
      <c r="C147" s="630"/>
      <c r="D147" s="627"/>
      <c r="E147" s="41"/>
      <c r="F147" s="41"/>
      <c r="G147" s="42"/>
      <c r="H147" s="220">
        <v>100</v>
      </c>
      <c r="I147" s="220" t="s">
        <v>9</v>
      </c>
      <c r="J147" s="662">
        <v>300</v>
      </c>
      <c r="K147" s="685">
        <f>J147*H147</f>
        <v>30000</v>
      </c>
    </row>
    <row r="148" spans="1:11" ht="21" x14ac:dyDescent="0.45">
      <c r="A148" s="498"/>
      <c r="B148" s="726" t="s">
        <v>1053</v>
      </c>
      <c r="C148" s="630"/>
      <c r="D148" s="627"/>
      <c r="E148" s="41"/>
      <c r="F148" s="41"/>
      <c r="G148" s="42"/>
      <c r="H148" s="220">
        <v>8</v>
      </c>
      <c r="I148" s="220" t="s">
        <v>9</v>
      </c>
      <c r="J148" s="662">
        <v>300</v>
      </c>
      <c r="K148" s="685">
        <f>J148*H148</f>
        <v>2400</v>
      </c>
    </row>
    <row r="149" spans="1:11" ht="21" x14ac:dyDescent="0.45">
      <c r="A149" s="498"/>
      <c r="B149" s="726" t="s">
        <v>1054</v>
      </c>
      <c r="C149" s="630"/>
      <c r="D149" s="627"/>
      <c r="E149" s="41"/>
      <c r="F149" s="41"/>
      <c r="G149" s="42"/>
      <c r="H149" s="220">
        <v>8</v>
      </c>
      <c r="I149" s="220" t="s">
        <v>9</v>
      </c>
      <c r="J149" s="662">
        <v>300</v>
      </c>
      <c r="K149" s="685">
        <f>J149*H149</f>
        <v>2400</v>
      </c>
    </row>
    <row r="150" spans="1:11" ht="21" x14ac:dyDescent="0.45">
      <c r="A150" s="498"/>
      <c r="B150" s="726" t="s">
        <v>1055</v>
      </c>
      <c r="C150" s="630"/>
      <c r="D150" s="627"/>
      <c r="E150" s="41"/>
      <c r="F150" s="41"/>
      <c r="G150" s="42"/>
      <c r="H150" s="220">
        <v>8</v>
      </c>
      <c r="I150" s="220" t="s">
        <v>9</v>
      </c>
      <c r="J150" s="662">
        <v>300</v>
      </c>
      <c r="K150" s="685">
        <f>J150*H150</f>
        <v>2400</v>
      </c>
    </row>
    <row r="151" spans="1:11" ht="21" x14ac:dyDescent="0.45">
      <c r="A151" s="498"/>
      <c r="B151" s="726" t="s">
        <v>1056</v>
      </c>
      <c r="C151" s="630"/>
      <c r="D151" s="627"/>
      <c r="E151" s="41"/>
      <c r="F151" s="41"/>
      <c r="G151" s="42"/>
      <c r="H151" s="220">
        <v>8</v>
      </c>
      <c r="I151" s="220" t="s">
        <v>9</v>
      </c>
      <c r="J151" s="662">
        <v>500</v>
      </c>
      <c r="K151" s="685">
        <f>J151*H151</f>
        <v>4000</v>
      </c>
    </row>
    <row r="152" spans="1:11" ht="21" x14ac:dyDescent="0.45">
      <c r="A152" s="498"/>
      <c r="B152" s="726" t="s">
        <v>10</v>
      </c>
      <c r="C152" s="630"/>
      <c r="D152" s="627"/>
      <c r="E152" s="41"/>
      <c r="F152" s="41"/>
      <c r="G152" s="42"/>
      <c r="H152" s="220"/>
      <c r="I152" s="220"/>
      <c r="J152" s="662"/>
      <c r="K152" s="685"/>
    </row>
    <row r="153" spans="1:11" ht="21" x14ac:dyDescent="0.45">
      <c r="A153" s="498"/>
      <c r="B153" s="726" t="s">
        <v>1057</v>
      </c>
      <c r="C153" s="630"/>
      <c r="D153" s="627"/>
      <c r="E153" s="41"/>
      <c r="F153" s="41"/>
      <c r="G153" s="42"/>
      <c r="H153" s="220">
        <v>8</v>
      </c>
      <c r="I153" s="220" t="s">
        <v>9</v>
      </c>
      <c r="J153" s="662">
        <v>800</v>
      </c>
      <c r="K153" s="685">
        <f>J153*H153</f>
        <v>6400</v>
      </c>
    </row>
    <row r="154" spans="1:11" ht="21" x14ac:dyDescent="0.45">
      <c r="A154" s="498"/>
      <c r="B154" s="726" t="s">
        <v>1058</v>
      </c>
      <c r="C154" s="630"/>
      <c r="D154" s="627"/>
      <c r="E154" s="41"/>
      <c r="F154" s="41"/>
      <c r="G154" s="42"/>
      <c r="H154" s="220">
        <v>20</v>
      </c>
      <c r="I154" s="220" t="s">
        <v>9</v>
      </c>
      <c r="J154" s="662">
        <v>300</v>
      </c>
      <c r="K154" s="685">
        <f>J154*H154</f>
        <v>6000</v>
      </c>
    </row>
    <row r="155" spans="1:11" ht="21" x14ac:dyDescent="0.45">
      <c r="A155" s="498"/>
      <c r="B155" s="726"/>
      <c r="C155" s="630"/>
      <c r="D155" s="627"/>
      <c r="E155" s="41"/>
      <c r="F155" s="41"/>
      <c r="G155" s="42"/>
      <c r="H155" s="220"/>
      <c r="I155" s="220"/>
      <c r="J155" s="662"/>
      <c r="K155" s="686"/>
    </row>
    <row r="156" spans="1:11" ht="21" x14ac:dyDescent="0.45">
      <c r="A156" s="498"/>
      <c r="B156" s="724" t="s">
        <v>1059</v>
      </c>
      <c r="C156" s="630"/>
      <c r="D156" s="627"/>
      <c r="E156" s="41"/>
      <c r="F156" s="41"/>
      <c r="G156" s="42"/>
      <c r="H156" s="220"/>
      <c r="I156" s="220"/>
      <c r="J156" s="662"/>
      <c r="K156" s="688">
        <f>K157+K160+K163+K168+K171+K177</f>
        <v>9079600</v>
      </c>
    </row>
    <row r="157" spans="1:11" ht="60" customHeight="1" x14ac:dyDescent="0.45">
      <c r="A157" s="498"/>
      <c r="B157" s="762" t="s">
        <v>1060</v>
      </c>
      <c r="C157" s="630"/>
      <c r="D157" s="627"/>
      <c r="E157" s="41"/>
      <c r="F157" s="41"/>
      <c r="G157" s="42"/>
      <c r="H157" s="220"/>
      <c r="I157" s="220"/>
      <c r="J157" s="662"/>
      <c r="K157" s="689">
        <f>SUM(K158)</f>
        <v>4500000</v>
      </c>
    </row>
    <row r="158" spans="1:11" ht="21" x14ac:dyDescent="0.45">
      <c r="A158" s="498"/>
      <c r="B158" s="726" t="s">
        <v>1061</v>
      </c>
      <c r="C158" s="630"/>
      <c r="D158" s="627"/>
      <c r="E158" s="41"/>
      <c r="F158" s="41"/>
      <c r="G158" s="42"/>
      <c r="H158" s="220">
        <v>1</v>
      </c>
      <c r="I158" s="220"/>
      <c r="J158" s="662"/>
      <c r="K158" s="685">
        <v>4500000</v>
      </c>
    </row>
    <row r="159" spans="1:11" ht="21" x14ac:dyDescent="0.45">
      <c r="A159" s="498">
        <v>2.5</v>
      </c>
      <c r="B159" s="726"/>
      <c r="C159" s="630"/>
      <c r="D159" s="627"/>
      <c r="E159" s="41"/>
      <c r="F159" s="41"/>
      <c r="G159" s="42"/>
      <c r="H159" s="220"/>
      <c r="I159" s="220"/>
      <c r="J159" s="662"/>
      <c r="K159" s="686"/>
    </row>
    <row r="160" spans="1:11" ht="31.5" x14ac:dyDescent="0.45">
      <c r="A160" s="498"/>
      <c r="B160" s="761" t="s">
        <v>1062</v>
      </c>
      <c r="C160" s="630"/>
      <c r="D160" s="627"/>
      <c r="E160" s="41"/>
      <c r="F160" s="41"/>
      <c r="G160" s="42"/>
      <c r="H160" s="220"/>
      <c r="I160" s="220"/>
      <c r="J160" s="662"/>
      <c r="K160" s="685">
        <f>SUM(K161)</f>
        <v>2500000</v>
      </c>
    </row>
    <row r="161" spans="1:11" ht="21" x14ac:dyDescent="0.45">
      <c r="A161" s="498"/>
      <c r="B161" s="726" t="s">
        <v>1061</v>
      </c>
      <c r="C161" s="630"/>
      <c r="D161" s="627"/>
      <c r="E161" s="41"/>
      <c r="F161" s="41"/>
      <c r="G161" s="42"/>
      <c r="H161" s="220">
        <v>1</v>
      </c>
      <c r="I161" s="220"/>
      <c r="J161" s="662"/>
      <c r="K161" s="685">
        <f>2500000</f>
        <v>2500000</v>
      </c>
    </row>
    <row r="162" spans="1:11" ht="21" x14ac:dyDescent="0.45">
      <c r="A162" s="498"/>
      <c r="B162" s="726"/>
      <c r="C162" s="630"/>
      <c r="D162" s="627"/>
      <c r="E162" s="41"/>
      <c r="F162" s="41"/>
      <c r="G162" s="42"/>
      <c r="H162" s="220"/>
      <c r="I162" s="220"/>
      <c r="J162" s="662"/>
      <c r="K162" s="685"/>
    </row>
    <row r="163" spans="1:11" ht="21" x14ac:dyDescent="0.45">
      <c r="A163" s="498"/>
      <c r="B163" s="760" t="s">
        <v>1063</v>
      </c>
      <c r="C163" s="630"/>
      <c r="D163" s="627"/>
      <c r="E163" s="41"/>
      <c r="F163" s="41"/>
      <c r="G163" s="42"/>
      <c r="H163" s="220"/>
      <c r="I163" s="220"/>
      <c r="J163" s="662"/>
      <c r="K163" s="685">
        <f>SUM(K164:K167)</f>
        <v>94200</v>
      </c>
    </row>
    <row r="164" spans="1:11" ht="21" x14ac:dyDescent="0.45">
      <c r="A164" s="498"/>
      <c r="B164" s="726" t="s">
        <v>1019</v>
      </c>
      <c r="C164" s="630"/>
      <c r="D164" s="627"/>
      <c r="E164" s="41"/>
      <c r="F164" s="41"/>
      <c r="G164" s="42"/>
      <c r="H164" s="220">
        <v>4</v>
      </c>
      <c r="I164" s="220" t="s">
        <v>7</v>
      </c>
      <c r="J164" s="662">
        <v>10000</v>
      </c>
      <c r="K164" s="685">
        <f>J164*H164</f>
        <v>40000</v>
      </c>
    </row>
    <row r="165" spans="1:11" ht="21" x14ac:dyDescent="0.45">
      <c r="A165" s="498"/>
      <c r="B165" s="726" t="s">
        <v>1064</v>
      </c>
      <c r="C165" s="630"/>
      <c r="D165" s="627"/>
      <c r="E165" s="41"/>
      <c r="F165" s="41"/>
      <c r="G165" s="42"/>
      <c r="H165" s="220">
        <v>60</v>
      </c>
      <c r="I165" s="220" t="s">
        <v>6</v>
      </c>
      <c r="J165" s="662">
        <v>500</v>
      </c>
      <c r="K165" s="685">
        <f>J165*H165</f>
        <v>30000</v>
      </c>
    </row>
    <row r="166" spans="1:11" ht="21" x14ac:dyDescent="0.45">
      <c r="A166" s="498"/>
      <c r="B166" s="726" t="s">
        <v>1065</v>
      </c>
      <c r="C166" s="630"/>
      <c r="D166" s="627"/>
      <c r="E166" s="41"/>
      <c r="F166" s="41"/>
      <c r="G166" s="42"/>
      <c r="H166" s="220">
        <v>400</v>
      </c>
      <c r="I166" s="220" t="s">
        <v>6</v>
      </c>
      <c r="J166" s="662">
        <v>50</v>
      </c>
      <c r="K166" s="685">
        <f>J166*H166</f>
        <v>20000</v>
      </c>
    </row>
    <row r="167" spans="1:11" ht="21" x14ac:dyDescent="0.45">
      <c r="A167" s="498"/>
      <c r="B167" s="726" t="s">
        <v>1025</v>
      </c>
      <c r="C167" s="630"/>
      <c r="D167" s="627"/>
      <c r="E167" s="41"/>
      <c r="F167" s="41"/>
      <c r="G167" s="42"/>
      <c r="H167" s="220">
        <v>60</v>
      </c>
      <c r="I167" s="220" t="s">
        <v>8</v>
      </c>
      <c r="J167" s="662">
        <v>70</v>
      </c>
      <c r="K167" s="685">
        <f>J167*H167</f>
        <v>4200</v>
      </c>
    </row>
    <row r="168" spans="1:11" ht="21" x14ac:dyDescent="0.45">
      <c r="A168" s="498"/>
      <c r="B168" s="760" t="s">
        <v>1066</v>
      </c>
      <c r="C168" s="630"/>
      <c r="D168" s="627"/>
      <c r="E168" s="41"/>
      <c r="F168" s="41"/>
      <c r="G168" s="42"/>
      <c r="H168" s="220"/>
      <c r="I168" s="220"/>
      <c r="J168" s="662"/>
      <c r="K168" s="685">
        <f>SUM(K169:K170)</f>
        <v>1625000</v>
      </c>
    </row>
    <row r="169" spans="1:11" ht="21" x14ac:dyDescent="0.45">
      <c r="A169" s="498"/>
      <c r="B169" s="726" t="s">
        <v>1067</v>
      </c>
      <c r="C169" s="630"/>
      <c r="D169" s="627"/>
      <c r="E169" s="41"/>
      <c r="F169" s="41"/>
      <c r="G169" s="42"/>
      <c r="H169" s="220">
        <v>500</v>
      </c>
      <c r="I169" s="220" t="s">
        <v>26</v>
      </c>
      <c r="J169" s="662">
        <v>2500</v>
      </c>
      <c r="K169" s="685">
        <f>J169*H169</f>
        <v>1250000</v>
      </c>
    </row>
    <row r="170" spans="1:11" ht="21" x14ac:dyDescent="0.45">
      <c r="A170" s="498"/>
      <c r="B170" s="726" t="s">
        <v>1068</v>
      </c>
      <c r="C170" s="630"/>
      <c r="D170" s="627"/>
      <c r="E170" s="41"/>
      <c r="F170" s="41"/>
      <c r="G170" s="42"/>
      <c r="H170" s="220">
        <v>500</v>
      </c>
      <c r="I170" s="220" t="s">
        <v>6</v>
      </c>
      <c r="J170" s="662">
        <v>750</v>
      </c>
      <c r="K170" s="685">
        <f>J170*H170</f>
        <v>375000</v>
      </c>
    </row>
    <row r="171" spans="1:11" ht="21" x14ac:dyDescent="0.45">
      <c r="A171" s="498"/>
      <c r="B171" s="760" t="s">
        <v>1069</v>
      </c>
      <c r="C171" s="630"/>
      <c r="D171" s="627"/>
      <c r="E171" s="41"/>
      <c r="F171" s="41"/>
      <c r="G171" s="42"/>
      <c r="H171" s="220"/>
      <c r="I171" s="220"/>
      <c r="J171" s="662"/>
      <c r="K171" s="685">
        <f>SUM(K172:K176)</f>
        <v>110400</v>
      </c>
    </row>
    <row r="172" spans="1:11" ht="21" x14ac:dyDescent="0.45">
      <c r="A172" s="498"/>
      <c r="B172" s="726" t="s">
        <v>1070</v>
      </c>
      <c r="C172" s="630"/>
      <c r="D172" s="627"/>
      <c r="E172" s="41"/>
      <c r="F172" s="41"/>
      <c r="G172" s="42"/>
      <c r="H172" s="220">
        <v>4</v>
      </c>
      <c r="I172" s="220" t="s">
        <v>7</v>
      </c>
      <c r="J172" s="662">
        <v>10000</v>
      </c>
      <c r="K172" s="685">
        <f>J172*H172</f>
        <v>40000</v>
      </c>
    </row>
    <row r="173" spans="1:11" ht="21" x14ac:dyDescent="0.45">
      <c r="A173" s="498"/>
      <c r="B173" s="726" t="s">
        <v>1020</v>
      </c>
      <c r="C173" s="630"/>
      <c r="D173" s="627"/>
      <c r="E173" s="41"/>
      <c r="F173" s="41"/>
      <c r="G173" s="42"/>
      <c r="H173" s="220">
        <v>100</v>
      </c>
      <c r="I173" s="220" t="s">
        <v>6</v>
      </c>
      <c r="J173" s="662">
        <v>500</v>
      </c>
      <c r="K173" s="685">
        <f>J173*H173</f>
        <v>50000</v>
      </c>
    </row>
    <row r="174" spans="1:11" ht="21" x14ac:dyDescent="0.45">
      <c r="A174" s="498"/>
      <c r="B174" s="726" t="s">
        <v>1021</v>
      </c>
      <c r="C174" s="630"/>
      <c r="D174" s="627"/>
      <c r="E174" s="41"/>
      <c r="F174" s="41"/>
      <c r="G174" s="42"/>
      <c r="H174" s="220">
        <v>100</v>
      </c>
      <c r="I174" s="220" t="s">
        <v>6</v>
      </c>
      <c r="J174" s="662">
        <v>50</v>
      </c>
      <c r="K174" s="685">
        <f>J174*H174</f>
        <v>5000</v>
      </c>
    </row>
    <row r="175" spans="1:11" ht="21" x14ac:dyDescent="0.45">
      <c r="A175" s="498"/>
      <c r="B175" s="726" t="s">
        <v>1022</v>
      </c>
      <c r="C175" s="630"/>
      <c r="D175" s="627"/>
      <c r="E175" s="41"/>
      <c r="F175" s="41"/>
      <c r="G175" s="42"/>
      <c r="H175" s="220">
        <v>7</v>
      </c>
      <c r="I175" s="220" t="s">
        <v>1023</v>
      </c>
      <c r="J175" s="662">
        <v>1200</v>
      </c>
      <c r="K175" s="685">
        <f>J175*H175</f>
        <v>8400</v>
      </c>
    </row>
    <row r="176" spans="1:11" ht="21" x14ac:dyDescent="0.45">
      <c r="A176" s="498"/>
      <c r="B176" s="726" t="s">
        <v>1025</v>
      </c>
      <c r="C176" s="630"/>
      <c r="D176" s="627"/>
      <c r="E176" s="41"/>
      <c r="F176" s="41"/>
      <c r="G176" s="42"/>
      <c r="H176" s="220">
        <v>100</v>
      </c>
      <c r="I176" s="220" t="s">
        <v>8</v>
      </c>
      <c r="J176" s="662">
        <v>70</v>
      </c>
      <c r="K176" s="685">
        <f>J176*H176</f>
        <v>7000</v>
      </c>
    </row>
    <row r="177" spans="1:11" ht="31.5" x14ac:dyDescent="0.45">
      <c r="A177" s="498"/>
      <c r="B177" s="761" t="s">
        <v>1071</v>
      </c>
      <c r="C177" s="630"/>
      <c r="D177" s="627"/>
      <c r="E177" s="41"/>
      <c r="F177" s="41"/>
      <c r="G177" s="42"/>
      <c r="H177" s="220"/>
      <c r="I177" s="220"/>
      <c r="J177" s="662"/>
      <c r="K177" s="685">
        <f>K178</f>
        <v>250000</v>
      </c>
    </row>
    <row r="178" spans="1:11" ht="21" x14ac:dyDescent="0.45">
      <c r="A178" s="498"/>
      <c r="B178" s="726" t="s">
        <v>1072</v>
      </c>
      <c r="C178" s="630"/>
      <c r="D178" s="627"/>
      <c r="E178" s="41"/>
      <c r="F178" s="41"/>
      <c r="G178" s="42"/>
      <c r="H178" s="220">
        <v>1000</v>
      </c>
      <c r="I178" s="220" t="s">
        <v>39</v>
      </c>
      <c r="J178" s="662">
        <v>250</v>
      </c>
      <c r="K178" s="685">
        <f>J178*H178</f>
        <v>250000</v>
      </c>
    </row>
    <row r="179" spans="1:11" ht="21" x14ac:dyDescent="0.45">
      <c r="A179" s="498"/>
      <c r="B179" s="724" t="s">
        <v>1073</v>
      </c>
      <c r="C179" s="630"/>
      <c r="D179" s="627"/>
      <c r="E179" s="41"/>
      <c r="F179" s="41"/>
      <c r="G179" s="42"/>
      <c r="H179" s="220"/>
      <c r="I179" s="220"/>
      <c r="J179" s="662"/>
      <c r="K179" s="685">
        <f>(K180+K186+K192+K204)</f>
        <v>1567040</v>
      </c>
    </row>
    <row r="180" spans="1:11" ht="31.5" x14ac:dyDescent="0.45">
      <c r="A180" s="498"/>
      <c r="B180" s="761" t="s">
        <v>1074</v>
      </c>
      <c r="C180" s="630"/>
      <c r="D180" s="627"/>
      <c r="E180" s="41"/>
      <c r="F180" s="41"/>
      <c r="G180" s="42"/>
      <c r="H180" s="220"/>
      <c r="I180" s="220"/>
      <c r="J180" s="662"/>
      <c r="K180" s="685">
        <f>SUM(K181:K185)</f>
        <v>535800</v>
      </c>
    </row>
    <row r="181" spans="1:11" ht="21" x14ac:dyDescent="0.45">
      <c r="A181" s="498"/>
      <c r="B181" s="726" t="s">
        <v>1075</v>
      </c>
      <c r="C181" s="630"/>
      <c r="D181" s="627"/>
      <c r="E181" s="41"/>
      <c r="F181" s="41"/>
      <c r="G181" s="42"/>
      <c r="H181" s="220">
        <v>80</v>
      </c>
      <c r="I181" s="220" t="s">
        <v>26</v>
      </c>
      <c r="J181" s="662">
        <v>2500</v>
      </c>
      <c r="K181" s="685">
        <f>J181*H181</f>
        <v>200000</v>
      </c>
    </row>
    <row r="182" spans="1:11" ht="21" x14ac:dyDescent="0.45">
      <c r="A182" s="498"/>
      <c r="B182" s="726" t="s">
        <v>1076</v>
      </c>
      <c r="C182" s="630"/>
      <c r="D182" s="627"/>
      <c r="E182" s="41"/>
      <c r="F182" s="41"/>
      <c r="G182" s="42"/>
      <c r="H182" s="220">
        <v>160</v>
      </c>
      <c r="I182" s="220" t="s">
        <v>6</v>
      </c>
      <c r="J182" s="662">
        <v>240</v>
      </c>
      <c r="K182" s="685">
        <f>J182*H182</f>
        <v>38400</v>
      </c>
    </row>
    <row r="183" spans="1:11" ht="21" x14ac:dyDescent="0.45">
      <c r="A183" s="498"/>
      <c r="B183" s="726" t="s">
        <v>1077</v>
      </c>
      <c r="C183" s="630"/>
      <c r="D183" s="627"/>
      <c r="E183" s="41"/>
      <c r="F183" s="41"/>
      <c r="G183" s="42"/>
      <c r="H183" s="220">
        <v>40</v>
      </c>
      <c r="I183" s="220" t="s">
        <v>33</v>
      </c>
      <c r="J183" s="662">
        <v>5000</v>
      </c>
      <c r="K183" s="685">
        <f>J183*H183</f>
        <v>200000</v>
      </c>
    </row>
    <row r="184" spans="1:11" ht="21" x14ac:dyDescent="0.45">
      <c r="A184" s="498"/>
      <c r="B184" s="726" t="s">
        <v>1078</v>
      </c>
      <c r="C184" s="630"/>
      <c r="D184" s="627"/>
      <c r="E184" s="41"/>
      <c r="F184" s="41"/>
      <c r="G184" s="42"/>
      <c r="H184" s="220">
        <v>80</v>
      </c>
      <c r="I184" s="220" t="s">
        <v>14</v>
      </c>
      <c r="J184" s="662">
        <v>1200</v>
      </c>
      <c r="K184" s="685">
        <f>J184*H184</f>
        <v>96000</v>
      </c>
    </row>
    <row r="185" spans="1:11" ht="21" x14ac:dyDescent="0.45">
      <c r="A185" s="498"/>
      <c r="B185" s="726" t="s">
        <v>1079</v>
      </c>
      <c r="C185" s="630"/>
      <c r="D185" s="627"/>
      <c r="E185" s="41"/>
      <c r="F185" s="41"/>
      <c r="G185" s="42"/>
      <c r="H185" s="220">
        <v>20</v>
      </c>
      <c r="I185" s="220" t="s">
        <v>8</v>
      </c>
      <c r="J185" s="662">
        <v>70</v>
      </c>
      <c r="K185" s="685">
        <f>J185*H185</f>
        <v>1400</v>
      </c>
    </row>
    <row r="186" spans="1:11" ht="31.5" x14ac:dyDescent="0.45">
      <c r="A186" s="498"/>
      <c r="B186" s="761" t="s">
        <v>1080</v>
      </c>
      <c r="C186" s="630"/>
      <c r="D186" s="627"/>
      <c r="E186" s="41"/>
      <c r="F186" s="41"/>
      <c r="G186" s="42"/>
      <c r="H186" s="220"/>
      <c r="I186" s="220"/>
      <c r="J186" s="662"/>
      <c r="K186" s="685">
        <f>SUM(K187:K190)</f>
        <v>160300</v>
      </c>
    </row>
    <row r="187" spans="1:11" ht="21" x14ac:dyDescent="0.45">
      <c r="A187" s="498"/>
      <c r="B187" s="726" t="s">
        <v>1081</v>
      </c>
      <c r="C187" s="630"/>
      <c r="D187" s="627"/>
      <c r="E187" s="41"/>
      <c r="F187" s="41"/>
      <c r="G187" s="42"/>
      <c r="H187" s="220">
        <v>20</v>
      </c>
      <c r="I187" s="220" t="s">
        <v>26</v>
      </c>
      <c r="J187" s="662">
        <v>2500</v>
      </c>
      <c r="K187" s="685">
        <f>J187*H187</f>
        <v>50000</v>
      </c>
    </row>
    <row r="188" spans="1:11" ht="21" x14ac:dyDescent="0.45">
      <c r="A188" s="498"/>
      <c r="B188" s="726" t="s">
        <v>1082</v>
      </c>
      <c r="C188" s="630"/>
      <c r="D188" s="627"/>
      <c r="E188" s="41"/>
      <c r="F188" s="41"/>
      <c r="G188" s="42"/>
      <c r="H188" s="220">
        <v>40</v>
      </c>
      <c r="I188" s="220" t="s">
        <v>6</v>
      </c>
      <c r="J188" s="662">
        <v>240</v>
      </c>
      <c r="K188" s="685">
        <f>J188*H188</f>
        <v>9600</v>
      </c>
    </row>
    <row r="189" spans="1:11" ht="21" x14ac:dyDescent="0.45">
      <c r="A189" s="498"/>
      <c r="B189" s="726" t="s">
        <v>1083</v>
      </c>
      <c r="C189" s="630"/>
      <c r="D189" s="627"/>
      <c r="E189" s="41"/>
      <c r="F189" s="41"/>
      <c r="G189" s="42"/>
      <c r="H189" s="220">
        <v>20</v>
      </c>
      <c r="I189" s="220" t="s">
        <v>33</v>
      </c>
      <c r="J189" s="662">
        <v>5000</v>
      </c>
      <c r="K189" s="685">
        <f>J189*H189</f>
        <v>100000</v>
      </c>
    </row>
    <row r="190" spans="1:11" ht="21" x14ac:dyDescent="0.45">
      <c r="A190" s="498"/>
      <c r="B190" s="726" t="s">
        <v>1079</v>
      </c>
      <c r="C190" s="630"/>
      <c r="D190" s="627"/>
      <c r="E190" s="41"/>
      <c r="F190" s="41"/>
      <c r="G190" s="42"/>
      <c r="H190" s="220">
        <v>10</v>
      </c>
      <c r="I190" s="220" t="s">
        <v>8</v>
      </c>
      <c r="J190" s="662">
        <v>70</v>
      </c>
      <c r="K190" s="685">
        <f>J190*H190</f>
        <v>700</v>
      </c>
    </row>
    <row r="191" spans="1:11" ht="21" x14ac:dyDescent="0.45">
      <c r="A191" s="498"/>
      <c r="B191" s="726"/>
      <c r="C191" s="630"/>
      <c r="D191" s="627"/>
      <c r="E191" s="41"/>
      <c r="F191" s="41"/>
      <c r="G191" s="42"/>
      <c r="H191" s="220"/>
      <c r="I191" s="220"/>
      <c r="J191" s="662"/>
      <c r="K191" s="686"/>
    </row>
    <row r="192" spans="1:11" ht="21" x14ac:dyDescent="0.45">
      <c r="A192" s="498"/>
      <c r="B192" s="761" t="s">
        <v>1084</v>
      </c>
      <c r="C192" s="630"/>
      <c r="D192" s="627"/>
      <c r="E192" s="41"/>
      <c r="F192" s="41"/>
      <c r="G192" s="42"/>
      <c r="H192" s="220"/>
      <c r="I192" s="220"/>
      <c r="J192" s="662"/>
      <c r="K192" s="685">
        <f>SUM(K193:K203)</f>
        <v>640340</v>
      </c>
    </row>
    <row r="193" spans="1:11" ht="21" x14ac:dyDescent="0.45">
      <c r="A193" s="498"/>
      <c r="B193" s="726" t="s">
        <v>1019</v>
      </c>
      <c r="C193" s="630"/>
      <c r="D193" s="627"/>
      <c r="E193" s="41"/>
      <c r="F193" s="41"/>
      <c r="G193" s="42"/>
      <c r="H193" s="220">
        <v>4</v>
      </c>
      <c r="I193" s="220" t="s">
        <v>7</v>
      </c>
      <c r="J193" s="662">
        <v>10000</v>
      </c>
      <c r="K193" s="685">
        <f>J193*H193</f>
        <v>40000</v>
      </c>
    </row>
    <row r="194" spans="1:11" ht="21" x14ac:dyDescent="0.45">
      <c r="A194" s="498"/>
      <c r="B194" s="726" t="s">
        <v>1085</v>
      </c>
      <c r="C194" s="630"/>
      <c r="D194" s="627"/>
      <c r="E194" s="41"/>
      <c r="F194" s="41"/>
      <c r="G194" s="42"/>
      <c r="H194" s="220">
        <v>210</v>
      </c>
      <c r="I194" s="220" t="s">
        <v>6</v>
      </c>
      <c r="J194" s="662">
        <v>500</v>
      </c>
      <c r="K194" s="685">
        <f t="shared" ref="K194:K203" si="6">J194*H194</f>
        <v>105000</v>
      </c>
    </row>
    <row r="195" spans="1:11" ht="21" x14ac:dyDescent="0.45">
      <c r="A195" s="498">
        <v>2.6</v>
      </c>
      <c r="B195" s="726" t="s">
        <v>1086</v>
      </c>
      <c r="C195" s="630"/>
      <c r="D195" s="627"/>
      <c r="E195" s="41"/>
      <c r="F195" s="41"/>
      <c r="G195" s="42"/>
      <c r="H195" s="220">
        <v>420</v>
      </c>
      <c r="I195" s="220" t="s">
        <v>6</v>
      </c>
      <c r="J195" s="662">
        <v>50</v>
      </c>
      <c r="K195" s="685">
        <f t="shared" si="6"/>
        <v>21000</v>
      </c>
    </row>
    <row r="196" spans="1:11" ht="21" x14ac:dyDescent="0.45">
      <c r="A196" s="498"/>
      <c r="B196" s="726" t="s">
        <v>1087</v>
      </c>
      <c r="C196" s="630"/>
      <c r="D196" s="627"/>
      <c r="E196" s="41"/>
      <c r="F196" s="41"/>
      <c r="G196" s="42"/>
      <c r="H196" s="220">
        <v>210</v>
      </c>
      <c r="I196" s="220" t="s">
        <v>8</v>
      </c>
      <c r="J196" s="662">
        <v>70</v>
      </c>
      <c r="K196" s="685">
        <f t="shared" si="6"/>
        <v>14700</v>
      </c>
    </row>
    <row r="197" spans="1:11" ht="21" x14ac:dyDescent="0.45">
      <c r="A197" s="498"/>
      <c r="B197" s="726" t="s">
        <v>1088</v>
      </c>
      <c r="C197" s="630"/>
      <c r="D197" s="627"/>
      <c r="E197" s="41"/>
      <c r="F197" s="41"/>
      <c r="G197" s="42"/>
      <c r="H197" s="220">
        <v>6</v>
      </c>
      <c r="I197" s="220" t="s">
        <v>26</v>
      </c>
      <c r="J197" s="662">
        <v>2500</v>
      </c>
      <c r="K197" s="685">
        <f t="shared" si="6"/>
        <v>15000</v>
      </c>
    </row>
    <row r="198" spans="1:11" ht="21" x14ac:dyDescent="0.45">
      <c r="A198" s="498"/>
      <c r="B198" s="726" t="s">
        <v>1089</v>
      </c>
      <c r="C198" s="630"/>
      <c r="D198" s="627"/>
      <c r="E198" s="41"/>
      <c r="F198" s="41"/>
      <c r="G198" s="42"/>
      <c r="H198" s="220">
        <v>42</v>
      </c>
      <c r="I198" s="220" t="s">
        <v>1023</v>
      </c>
      <c r="J198" s="662">
        <v>1200</v>
      </c>
      <c r="K198" s="685">
        <f t="shared" si="6"/>
        <v>50400</v>
      </c>
    </row>
    <row r="199" spans="1:11" ht="21" x14ac:dyDescent="0.45">
      <c r="A199" s="498"/>
      <c r="B199" s="726" t="s">
        <v>1090</v>
      </c>
      <c r="C199" s="630"/>
      <c r="D199" s="627"/>
      <c r="E199" s="41"/>
      <c r="F199" s="41"/>
      <c r="G199" s="42"/>
      <c r="H199" s="220">
        <v>40</v>
      </c>
      <c r="I199" s="220" t="s">
        <v>33</v>
      </c>
      <c r="J199" s="662">
        <v>5000</v>
      </c>
      <c r="K199" s="685">
        <f t="shared" si="6"/>
        <v>200000</v>
      </c>
    </row>
    <row r="200" spans="1:11" ht="21" x14ac:dyDescent="0.45">
      <c r="A200" s="498"/>
      <c r="B200" s="726" t="s">
        <v>1091</v>
      </c>
      <c r="C200" s="630"/>
      <c r="D200" s="627"/>
      <c r="E200" s="41"/>
      <c r="F200" s="41"/>
      <c r="G200" s="42"/>
      <c r="H200" s="220">
        <v>96</v>
      </c>
      <c r="I200" s="220" t="s">
        <v>6</v>
      </c>
      <c r="J200" s="662">
        <v>240</v>
      </c>
      <c r="K200" s="685">
        <f t="shared" si="6"/>
        <v>23040</v>
      </c>
    </row>
    <row r="201" spans="1:11" ht="21" x14ac:dyDescent="0.45">
      <c r="A201" s="498"/>
      <c r="B201" s="726" t="s">
        <v>1092</v>
      </c>
      <c r="C201" s="630"/>
      <c r="D201" s="627"/>
      <c r="E201" s="41"/>
      <c r="F201" s="41"/>
      <c r="G201" s="42"/>
      <c r="H201" s="220">
        <v>96</v>
      </c>
      <c r="I201" s="220" t="s">
        <v>14</v>
      </c>
      <c r="J201" s="662">
        <v>1200</v>
      </c>
      <c r="K201" s="685">
        <f>J201*H201</f>
        <v>115200</v>
      </c>
    </row>
    <row r="202" spans="1:11" ht="21" x14ac:dyDescent="0.45">
      <c r="A202" s="498"/>
      <c r="B202" s="726" t="s">
        <v>1093</v>
      </c>
      <c r="C202" s="630"/>
      <c r="D202" s="627"/>
      <c r="E202" s="41"/>
      <c r="F202" s="41"/>
      <c r="G202" s="42"/>
      <c r="H202" s="220">
        <v>72</v>
      </c>
      <c r="I202" s="220" t="s">
        <v>14</v>
      </c>
      <c r="J202" s="662">
        <v>500</v>
      </c>
      <c r="K202" s="685">
        <f t="shared" si="6"/>
        <v>36000</v>
      </c>
    </row>
    <row r="203" spans="1:11" ht="21" x14ac:dyDescent="0.45">
      <c r="A203" s="498"/>
      <c r="B203" s="726" t="s">
        <v>1094</v>
      </c>
      <c r="C203" s="630"/>
      <c r="D203" s="627"/>
      <c r="E203" s="41"/>
      <c r="F203" s="41"/>
      <c r="G203" s="42"/>
      <c r="H203" s="220">
        <v>4</v>
      </c>
      <c r="I203" s="220" t="s">
        <v>7</v>
      </c>
      <c r="J203" s="662">
        <v>5000</v>
      </c>
      <c r="K203" s="685">
        <f t="shared" si="6"/>
        <v>20000</v>
      </c>
    </row>
    <row r="204" spans="1:11" ht="21" x14ac:dyDescent="0.45">
      <c r="A204" s="498"/>
      <c r="B204" s="760" t="s">
        <v>1095</v>
      </c>
      <c r="C204" s="630"/>
      <c r="D204" s="627"/>
      <c r="E204" s="41"/>
      <c r="F204" s="41"/>
      <c r="G204" s="42"/>
      <c r="H204" s="220"/>
      <c r="I204" s="220"/>
      <c r="J204" s="662"/>
      <c r="K204" s="685">
        <f>SUM(K205:K215)</f>
        <v>230600</v>
      </c>
    </row>
    <row r="205" spans="1:11" ht="21" x14ac:dyDescent="0.45">
      <c r="A205" s="498"/>
      <c r="B205" s="726" t="s">
        <v>1096</v>
      </c>
      <c r="C205" s="630"/>
      <c r="D205" s="627"/>
      <c r="E205" s="41"/>
      <c r="F205" s="41"/>
      <c r="G205" s="42"/>
      <c r="H205" s="220">
        <v>50</v>
      </c>
      <c r="I205" s="220" t="s">
        <v>6</v>
      </c>
      <c r="J205" s="662">
        <v>500</v>
      </c>
      <c r="K205" s="685">
        <f>J205*H205</f>
        <v>25000</v>
      </c>
    </row>
    <row r="206" spans="1:11" ht="21" x14ac:dyDescent="0.45">
      <c r="A206" s="498"/>
      <c r="B206" s="726" t="s">
        <v>1097</v>
      </c>
      <c r="C206" s="630"/>
      <c r="D206" s="627"/>
      <c r="E206" s="41"/>
      <c r="F206" s="41"/>
      <c r="G206" s="42"/>
      <c r="H206" s="220">
        <v>50</v>
      </c>
      <c r="I206" s="220" t="s">
        <v>6</v>
      </c>
      <c r="J206" s="662">
        <v>800</v>
      </c>
      <c r="K206" s="685">
        <f t="shared" ref="K206:K215" si="7">J206*H206</f>
        <v>40000</v>
      </c>
    </row>
    <row r="207" spans="1:11" ht="21" x14ac:dyDescent="0.45">
      <c r="A207" s="498"/>
      <c r="B207" s="726" t="s">
        <v>1098</v>
      </c>
      <c r="C207" s="630"/>
      <c r="D207" s="627"/>
      <c r="E207" s="41"/>
      <c r="F207" s="41"/>
      <c r="G207" s="42"/>
      <c r="H207" s="220">
        <v>200</v>
      </c>
      <c r="I207" s="220" t="s">
        <v>6</v>
      </c>
      <c r="J207" s="662">
        <v>50</v>
      </c>
      <c r="K207" s="685">
        <f t="shared" si="7"/>
        <v>10000</v>
      </c>
    </row>
    <row r="208" spans="1:11" ht="21" x14ac:dyDescent="0.45">
      <c r="A208" s="498"/>
      <c r="B208" s="726" t="s">
        <v>1099</v>
      </c>
      <c r="C208" s="630"/>
      <c r="D208" s="627"/>
      <c r="E208" s="41"/>
      <c r="F208" s="41"/>
      <c r="G208" s="42"/>
      <c r="H208" s="220">
        <v>50</v>
      </c>
      <c r="I208" s="220" t="s">
        <v>8</v>
      </c>
      <c r="J208" s="662">
        <v>70</v>
      </c>
      <c r="K208" s="685">
        <f t="shared" si="7"/>
        <v>3500</v>
      </c>
    </row>
    <row r="209" spans="1:11" ht="21" x14ac:dyDescent="0.45">
      <c r="A209" s="498"/>
      <c r="B209" s="726" t="s">
        <v>1100</v>
      </c>
      <c r="C209" s="630"/>
      <c r="D209" s="627"/>
      <c r="E209" s="41"/>
      <c r="F209" s="41"/>
      <c r="G209" s="42"/>
      <c r="H209" s="220">
        <v>8</v>
      </c>
      <c r="I209" s="220" t="s">
        <v>26</v>
      </c>
      <c r="J209" s="662">
        <v>2500</v>
      </c>
      <c r="K209" s="685">
        <f t="shared" si="7"/>
        <v>20000</v>
      </c>
    </row>
    <row r="210" spans="1:11" ht="21" x14ac:dyDescent="0.45">
      <c r="A210" s="498"/>
      <c r="B210" s="726" t="s">
        <v>1101</v>
      </c>
      <c r="C210" s="630"/>
      <c r="D210" s="627"/>
      <c r="E210" s="41"/>
      <c r="F210" s="41"/>
      <c r="G210" s="42"/>
      <c r="H210" s="220">
        <v>28</v>
      </c>
      <c r="I210" s="220" t="s">
        <v>1023</v>
      </c>
      <c r="J210" s="662">
        <v>1200</v>
      </c>
      <c r="K210" s="685">
        <f t="shared" si="7"/>
        <v>33600</v>
      </c>
    </row>
    <row r="211" spans="1:11" ht="21" x14ac:dyDescent="0.45">
      <c r="A211" s="498"/>
      <c r="B211" s="726" t="s">
        <v>1102</v>
      </c>
      <c r="C211" s="630"/>
      <c r="D211" s="627"/>
      <c r="E211" s="41"/>
      <c r="F211" s="41"/>
      <c r="G211" s="42"/>
      <c r="H211" s="220">
        <v>50</v>
      </c>
      <c r="I211" s="220" t="s">
        <v>14</v>
      </c>
      <c r="J211" s="662">
        <v>750</v>
      </c>
      <c r="K211" s="685">
        <f t="shared" si="7"/>
        <v>37500</v>
      </c>
    </row>
    <row r="212" spans="1:11" ht="21" x14ac:dyDescent="0.45">
      <c r="A212" s="498"/>
      <c r="B212" s="726" t="s">
        <v>1103</v>
      </c>
      <c r="C212" s="630"/>
      <c r="D212" s="627"/>
      <c r="E212" s="41"/>
      <c r="F212" s="41"/>
      <c r="G212" s="42"/>
      <c r="H212" s="220">
        <v>4</v>
      </c>
      <c r="I212" s="220" t="s">
        <v>8</v>
      </c>
      <c r="J212" s="662">
        <v>1500</v>
      </c>
      <c r="K212" s="685">
        <f t="shared" si="7"/>
        <v>6000</v>
      </c>
    </row>
    <row r="213" spans="1:11" ht="21" x14ac:dyDescent="0.45">
      <c r="A213" s="498"/>
      <c r="B213" s="726" t="s">
        <v>1019</v>
      </c>
      <c r="C213" s="630"/>
      <c r="D213" s="627"/>
      <c r="E213" s="41"/>
      <c r="F213" s="41"/>
      <c r="G213" s="42"/>
      <c r="H213" s="220">
        <v>2</v>
      </c>
      <c r="I213" s="220" t="s">
        <v>7</v>
      </c>
      <c r="J213" s="662">
        <v>10000</v>
      </c>
      <c r="K213" s="685">
        <f t="shared" si="7"/>
        <v>20000</v>
      </c>
    </row>
    <row r="214" spans="1:11" ht="21" x14ac:dyDescent="0.45">
      <c r="A214" s="498"/>
      <c r="B214" s="726" t="s">
        <v>1104</v>
      </c>
      <c r="C214" s="630"/>
      <c r="D214" s="627"/>
      <c r="E214" s="41"/>
      <c r="F214" s="41"/>
      <c r="G214" s="42"/>
      <c r="H214" s="220">
        <v>50</v>
      </c>
      <c r="I214" s="220" t="s">
        <v>14</v>
      </c>
      <c r="J214" s="662">
        <v>500</v>
      </c>
      <c r="K214" s="685">
        <f t="shared" si="7"/>
        <v>25000</v>
      </c>
    </row>
    <row r="215" spans="1:11" ht="21" x14ac:dyDescent="0.45">
      <c r="A215" s="498"/>
      <c r="B215" s="726" t="s">
        <v>1094</v>
      </c>
      <c r="C215" s="630"/>
      <c r="D215" s="627"/>
      <c r="E215" s="41"/>
      <c r="F215" s="41"/>
      <c r="G215" s="42"/>
      <c r="H215" s="220">
        <v>2</v>
      </c>
      <c r="I215" s="220" t="s">
        <v>7</v>
      </c>
      <c r="J215" s="662">
        <v>5000</v>
      </c>
      <c r="K215" s="685">
        <f t="shared" si="7"/>
        <v>10000</v>
      </c>
    </row>
    <row r="216" spans="1:11" ht="21" x14ac:dyDescent="0.45">
      <c r="A216" s="498"/>
      <c r="B216" s="721" t="s">
        <v>1105</v>
      </c>
      <c r="C216" s="630"/>
      <c r="D216" s="627"/>
      <c r="E216" s="41"/>
      <c r="F216" s="41"/>
      <c r="G216" s="42"/>
      <c r="H216" s="220"/>
      <c r="I216" s="220"/>
      <c r="J216" s="662"/>
      <c r="K216" s="688"/>
    </row>
    <row r="217" spans="1:11" ht="17.25" customHeight="1" x14ac:dyDescent="0.45">
      <c r="A217" s="498">
        <v>2.7</v>
      </c>
      <c r="B217" s="718" t="s">
        <v>970</v>
      </c>
      <c r="C217" s="708"/>
      <c r="D217" s="179"/>
      <c r="E217" s="179"/>
      <c r="F217" s="179"/>
      <c r="G217" s="178"/>
      <c r="H217" s="178"/>
      <c r="I217" s="178"/>
      <c r="J217" s="659"/>
      <c r="K217" s="680">
        <f>SUM(K218+K228+K236+K241+K249)</f>
        <v>1282000</v>
      </c>
    </row>
    <row r="218" spans="1:11" ht="17.25" customHeight="1" x14ac:dyDescent="0.45">
      <c r="A218" s="498"/>
      <c r="B218" s="728" t="s">
        <v>1106</v>
      </c>
      <c r="C218" s="708"/>
      <c r="D218" s="179"/>
      <c r="E218" s="179"/>
      <c r="F218" s="179"/>
      <c r="G218" s="178"/>
      <c r="H218" s="178"/>
      <c r="I218" s="178"/>
      <c r="J218" s="659"/>
      <c r="K218" s="680">
        <f>SUM(K219+K223+K224+K227)</f>
        <v>448200</v>
      </c>
    </row>
    <row r="219" spans="1:11" ht="17.25" customHeight="1" x14ac:dyDescent="0.45">
      <c r="A219" s="498"/>
      <c r="B219" s="720" t="s">
        <v>1107</v>
      </c>
      <c r="C219" s="708"/>
      <c r="D219" s="179"/>
      <c r="E219" s="179"/>
      <c r="F219" s="179"/>
      <c r="G219" s="178"/>
      <c r="H219" s="178"/>
      <c r="I219" s="178"/>
      <c r="J219" s="659"/>
      <c r="K219" s="690">
        <f>SUM(K220:K222)</f>
        <v>28200</v>
      </c>
    </row>
    <row r="220" spans="1:11" ht="17.25" customHeight="1" x14ac:dyDescent="0.45">
      <c r="A220" s="498"/>
      <c r="B220" s="720" t="s">
        <v>1108</v>
      </c>
      <c r="C220" s="708"/>
      <c r="D220" s="179"/>
      <c r="E220" s="179"/>
      <c r="F220" s="179"/>
      <c r="G220" s="178"/>
      <c r="H220" s="178"/>
      <c r="I220" s="178">
        <v>10</v>
      </c>
      <c r="J220" s="658">
        <v>1200</v>
      </c>
      <c r="K220" s="680">
        <f>J220*I220</f>
        <v>12000</v>
      </c>
    </row>
    <row r="221" spans="1:11" ht="17.25" customHeight="1" x14ac:dyDescent="0.45">
      <c r="A221" s="498"/>
      <c r="B221" s="720" t="s">
        <v>1109</v>
      </c>
      <c r="C221" s="708"/>
      <c r="D221" s="179"/>
      <c r="E221" s="179"/>
      <c r="F221" s="179"/>
      <c r="G221" s="178"/>
      <c r="H221" s="178"/>
      <c r="I221" s="178"/>
      <c r="J221" s="658">
        <v>12000</v>
      </c>
      <c r="K221" s="680">
        <f>J221</f>
        <v>12000</v>
      </c>
    </row>
    <row r="222" spans="1:11" ht="17.25" customHeight="1" x14ac:dyDescent="0.45">
      <c r="A222" s="498"/>
      <c r="B222" s="720" t="s">
        <v>1110</v>
      </c>
      <c r="C222" s="708"/>
      <c r="D222" s="179"/>
      <c r="E222" s="179"/>
      <c r="F222" s="179"/>
      <c r="G222" s="178"/>
      <c r="H222" s="178"/>
      <c r="I222" s="178"/>
      <c r="J222" s="658">
        <v>4200</v>
      </c>
      <c r="K222" s="680">
        <f>J222</f>
        <v>4200</v>
      </c>
    </row>
    <row r="223" spans="1:11" ht="17.25" customHeight="1" x14ac:dyDescent="0.45">
      <c r="A223" s="498"/>
      <c r="B223" s="720" t="s">
        <v>1111</v>
      </c>
      <c r="C223" s="708"/>
      <c r="D223" s="179"/>
      <c r="E223" s="179"/>
      <c r="F223" s="179"/>
      <c r="G223" s="178"/>
      <c r="H223" s="178"/>
      <c r="I223" s="178"/>
      <c r="J223" s="658">
        <v>50000</v>
      </c>
      <c r="K223" s="680">
        <f>J223</f>
        <v>50000</v>
      </c>
    </row>
    <row r="224" spans="1:11" ht="17.25" customHeight="1" x14ac:dyDescent="0.45">
      <c r="A224" s="498"/>
      <c r="B224" s="720" t="s">
        <v>1112</v>
      </c>
      <c r="C224" s="708"/>
      <c r="D224" s="179"/>
      <c r="E224" s="179"/>
      <c r="F224" s="179"/>
      <c r="G224" s="178"/>
      <c r="H224" s="178"/>
      <c r="I224" s="178"/>
      <c r="J224" s="658">
        <v>120000</v>
      </c>
      <c r="K224" s="680">
        <f>J224</f>
        <v>120000</v>
      </c>
    </row>
    <row r="225" spans="1:11" ht="17.25" customHeight="1" x14ac:dyDescent="0.45">
      <c r="A225" s="498"/>
      <c r="B225" s="720" t="s">
        <v>1113</v>
      </c>
      <c r="C225" s="708"/>
      <c r="D225" s="179"/>
      <c r="E225" s="179"/>
      <c r="F225" s="179"/>
      <c r="G225" s="178"/>
      <c r="H225" s="178"/>
      <c r="I225" s="178"/>
      <c r="J225" s="659"/>
      <c r="K225" s="691"/>
    </row>
    <row r="226" spans="1:11" ht="17.25" customHeight="1" x14ac:dyDescent="0.45">
      <c r="A226" s="498"/>
      <c r="B226" s="720" t="s">
        <v>1114</v>
      </c>
      <c r="C226" s="708"/>
      <c r="D226" s="179"/>
      <c r="E226" s="179"/>
      <c r="F226" s="179"/>
      <c r="G226" s="178"/>
      <c r="H226" s="178"/>
      <c r="I226" s="178"/>
      <c r="J226" s="659"/>
      <c r="K226" s="691"/>
    </row>
    <row r="227" spans="1:11" ht="17.25" customHeight="1" x14ac:dyDescent="0.45">
      <c r="A227" s="498"/>
      <c r="B227" s="720" t="s">
        <v>1115</v>
      </c>
      <c r="C227" s="708"/>
      <c r="D227" s="179"/>
      <c r="E227" s="179"/>
      <c r="F227" s="179"/>
      <c r="G227" s="178"/>
      <c r="H227" s="178"/>
      <c r="I227" s="178"/>
      <c r="J227" s="658">
        <v>250000</v>
      </c>
      <c r="K227" s="680">
        <f>J227</f>
        <v>250000</v>
      </c>
    </row>
    <row r="228" spans="1:11" ht="17.25" customHeight="1" x14ac:dyDescent="0.45">
      <c r="A228" s="498"/>
      <c r="B228" s="728" t="s">
        <v>1116</v>
      </c>
      <c r="C228" s="708"/>
      <c r="D228" s="179"/>
      <c r="E228" s="179"/>
      <c r="F228" s="179"/>
      <c r="G228" s="178"/>
      <c r="H228" s="178"/>
      <c r="I228" s="178"/>
      <c r="J228" s="659"/>
      <c r="K228" s="690">
        <f>SUM(K229:K234)</f>
        <v>146800</v>
      </c>
    </row>
    <row r="229" spans="1:11" ht="17.25" customHeight="1" x14ac:dyDescent="0.45">
      <c r="A229" s="498"/>
      <c r="B229" s="720" t="s">
        <v>1117</v>
      </c>
      <c r="C229" s="708"/>
      <c r="D229" s="179"/>
      <c r="E229" s="179"/>
      <c r="F229" s="179"/>
      <c r="G229" s="178"/>
      <c r="H229" s="178"/>
      <c r="I229" s="178"/>
      <c r="J229" s="658">
        <v>25600</v>
      </c>
      <c r="K229" s="680">
        <f t="shared" ref="K229:K234" si="8">J229</f>
        <v>25600</v>
      </c>
    </row>
    <row r="230" spans="1:11" ht="17.25" customHeight="1" x14ac:dyDescent="0.45">
      <c r="A230" s="498"/>
      <c r="B230" s="720" t="s">
        <v>1118</v>
      </c>
      <c r="C230" s="708"/>
      <c r="D230" s="179"/>
      <c r="E230" s="179"/>
      <c r="F230" s="179"/>
      <c r="G230" s="178"/>
      <c r="H230" s="178"/>
      <c r="I230" s="178"/>
      <c r="J230" s="658">
        <v>48000</v>
      </c>
      <c r="K230" s="680">
        <f t="shared" si="8"/>
        <v>48000</v>
      </c>
    </row>
    <row r="231" spans="1:11" ht="17.25" customHeight="1" x14ac:dyDescent="0.45">
      <c r="A231" s="498"/>
      <c r="B231" s="720" t="s">
        <v>1119</v>
      </c>
      <c r="C231" s="708"/>
      <c r="D231" s="179"/>
      <c r="E231" s="179"/>
      <c r="F231" s="179"/>
      <c r="G231" s="178"/>
      <c r="H231" s="178"/>
      <c r="I231" s="178"/>
      <c r="J231" s="658">
        <v>16000</v>
      </c>
      <c r="K231" s="680">
        <f t="shared" si="8"/>
        <v>16000</v>
      </c>
    </row>
    <row r="232" spans="1:11" ht="17.25" customHeight="1" x14ac:dyDescent="0.45">
      <c r="A232" s="498"/>
      <c r="B232" s="720" t="s">
        <v>1120</v>
      </c>
      <c r="C232" s="708"/>
      <c r="D232" s="179"/>
      <c r="E232" s="179"/>
      <c r="F232" s="179"/>
      <c r="G232" s="178"/>
      <c r="H232" s="178"/>
      <c r="I232" s="178"/>
      <c r="J232" s="658">
        <v>25000</v>
      </c>
      <c r="K232" s="680">
        <f t="shared" si="8"/>
        <v>25000</v>
      </c>
    </row>
    <row r="233" spans="1:11" ht="17.25" customHeight="1" x14ac:dyDescent="0.45">
      <c r="A233" s="498"/>
      <c r="B233" s="720" t="s">
        <v>1121</v>
      </c>
      <c r="C233" s="708"/>
      <c r="D233" s="179"/>
      <c r="E233" s="179"/>
      <c r="F233" s="179"/>
      <c r="G233" s="178"/>
      <c r="H233" s="178"/>
      <c r="I233" s="178"/>
      <c r="J233" s="658">
        <v>20000</v>
      </c>
      <c r="K233" s="680">
        <f t="shared" si="8"/>
        <v>20000</v>
      </c>
    </row>
    <row r="234" spans="1:11" ht="17.25" customHeight="1" x14ac:dyDescent="0.45">
      <c r="A234" s="498"/>
      <c r="B234" s="720" t="s">
        <v>1122</v>
      </c>
      <c r="C234" s="708"/>
      <c r="D234" s="179"/>
      <c r="E234" s="179"/>
      <c r="F234" s="179"/>
      <c r="G234" s="178"/>
      <c r="H234" s="178"/>
      <c r="I234" s="178"/>
      <c r="J234" s="658">
        <v>12200</v>
      </c>
      <c r="K234" s="680">
        <f t="shared" si="8"/>
        <v>12200</v>
      </c>
    </row>
    <row r="235" spans="1:11" ht="17.25" customHeight="1" x14ac:dyDescent="0.45">
      <c r="A235" s="742"/>
      <c r="B235" s="728" t="s">
        <v>1123</v>
      </c>
      <c r="C235" s="708"/>
      <c r="D235" s="179"/>
      <c r="E235" s="179"/>
      <c r="F235" s="179"/>
      <c r="G235" s="178"/>
      <c r="H235" s="178"/>
      <c r="I235" s="178"/>
      <c r="J235" s="659"/>
      <c r="K235" s="691"/>
    </row>
    <row r="236" spans="1:11" ht="17.25" customHeight="1" x14ac:dyDescent="0.45">
      <c r="A236" s="743" t="s">
        <v>253</v>
      </c>
      <c r="B236" s="728" t="s">
        <v>1124</v>
      </c>
      <c r="C236" s="708"/>
      <c r="D236" s="179"/>
      <c r="E236" s="179"/>
      <c r="F236" s="179"/>
      <c r="G236" s="178"/>
      <c r="H236" s="178"/>
      <c r="I236" s="178"/>
      <c r="J236" s="659"/>
      <c r="K236" s="690">
        <f>SUM(K237:K239)</f>
        <v>395000</v>
      </c>
    </row>
    <row r="237" spans="1:11" ht="17.25" customHeight="1" x14ac:dyDescent="0.45">
      <c r="A237" s="744"/>
      <c r="B237" s="720" t="s">
        <v>1120</v>
      </c>
      <c r="C237" s="708"/>
      <c r="D237" s="179"/>
      <c r="E237" s="179"/>
      <c r="F237" s="179"/>
      <c r="G237" s="178"/>
      <c r="H237" s="178"/>
      <c r="I237" s="178"/>
      <c r="J237" s="658">
        <v>75000</v>
      </c>
      <c r="K237" s="680">
        <f>J237</f>
        <v>75000</v>
      </c>
    </row>
    <row r="238" spans="1:11" ht="17.25" customHeight="1" x14ac:dyDescent="0.45">
      <c r="A238" s="744"/>
      <c r="B238" s="720" t="s">
        <v>1125</v>
      </c>
      <c r="C238" s="708"/>
      <c r="D238" s="179"/>
      <c r="E238" s="179"/>
      <c r="F238" s="179"/>
      <c r="G238" s="178"/>
      <c r="H238" s="178"/>
      <c r="I238" s="178"/>
      <c r="J238" s="658">
        <v>240000</v>
      </c>
      <c r="K238" s="680">
        <f>J238</f>
        <v>240000</v>
      </c>
    </row>
    <row r="239" spans="1:11" ht="17.25" customHeight="1" x14ac:dyDescent="0.45">
      <c r="A239" s="744"/>
      <c r="B239" s="720" t="s">
        <v>1126</v>
      </c>
      <c r="C239" s="708"/>
      <c r="D239" s="179"/>
      <c r="E239" s="179"/>
      <c r="F239" s="179"/>
      <c r="G239" s="178"/>
      <c r="H239" s="178"/>
      <c r="I239" s="178"/>
      <c r="J239" s="658">
        <v>80000</v>
      </c>
      <c r="K239" s="680">
        <f>J239</f>
        <v>80000</v>
      </c>
    </row>
    <row r="240" spans="1:11" ht="17.25" customHeight="1" x14ac:dyDescent="0.45">
      <c r="A240" s="744"/>
      <c r="B240" s="728" t="s">
        <v>1127</v>
      </c>
      <c r="C240" s="708"/>
      <c r="D240" s="179"/>
      <c r="E240" s="179"/>
      <c r="F240" s="179"/>
      <c r="G240" s="178"/>
      <c r="H240" s="178"/>
      <c r="I240" s="178"/>
      <c r="J240" s="659"/>
      <c r="K240" s="692"/>
    </row>
    <row r="241" spans="1:11" ht="17.25" customHeight="1" x14ac:dyDescent="0.45">
      <c r="A241" s="744"/>
      <c r="B241" s="728" t="s">
        <v>1128</v>
      </c>
      <c r="C241" s="708"/>
      <c r="D241" s="179"/>
      <c r="E241" s="179"/>
      <c r="F241" s="179"/>
      <c r="G241" s="178"/>
      <c r="H241" s="178"/>
      <c r="I241" s="178"/>
      <c r="J241" s="659"/>
      <c r="K241" s="690">
        <f>SUM(K242:K248)</f>
        <v>253200</v>
      </c>
    </row>
    <row r="242" spans="1:11" ht="17.25" customHeight="1" x14ac:dyDescent="0.45">
      <c r="A242" s="742"/>
      <c r="B242" s="720" t="s">
        <v>1129</v>
      </c>
      <c r="C242" s="708"/>
      <c r="D242" s="179"/>
      <c r="E242" s="179"/>
      <c r="F242" s="179"/>
      <c r="G242" s="178"/>
      <c r="H242" s="178"/>
      <c r="I242" s="178"/>
      <c r="J242" s="658">
        <v>20000</v>
      </c>
      <c r="K242" s="680">
        <f>J242</f>
        <v>20000</v>
      </c>
    </row>
    <row r="243" spans="1:11" ht="17.25" customHeight="1" x14ac:dyDescent="0.45">
      <c r="A243" s="744"/>
      <c r="B243" s="720" t="s">
        <v>1130</v>
      </c>
      <c r="C243" s="708"/>
      <c r="D243" s="179"/>
      <c r="E243" s="179"/>
      <c r="F243" s="179"/>
      <c r="G243" s="178"/>
      <c r="H243" s="178"/>
      <c r="I243" s="178"/>
      <c r="J243" s="658">
        <v>51200</v>
      </c>
      <c r="K243" s="680">
        <f t="shared" ref="K243:K248" si="9">J243</f>
        <v>51200</v>
      </c>
    </row>
    <row r="244" spans="1:11" ht="17.25" customHeight="1" x14ac:dyDescent="0.45">
      <c r="A244" s="744"/>
      <c r="B244" s="720" t="s">
        <v>1131</v>
      </c>
      <c r="C244" s="708"/>
      <c r="D244" s="179"/>
      <c r="E244" s="179"/>
      <c r="F244" s="179"/>
      <c r="G244" s="178"/>
      <c r="H244" s="178"/>
      <c r="I244" s="178"/>
      <c r="J244" s="658">
        <v>120000</v>
      </c>
      <c r="K244" s="680">
        <f t="shared" si="9"/>
        <v>120000</v>
      </c>
    </row>
    <row r="245" spans="1:11" ht="17.25" customHeight="1" x14ac:dyDescent="0.45">
      <c r="A245" s="744"/>
      <c r="B245" s="720" t="s">
        <v>1132</v>
      </c>
      <c r="C245" s="708"/>
      <c r="D245" s="179"/>
      <c r="E245" s="179"/>
      <c r="F245" s="179"/>
      <c r="G245" s="178"/>
      <c r="H245" s="178"/>
      <c r="I245" s="178"/>
      <c r="J245" s="658">
        <v>20000</v>
      </c>
      <c r="K245" s="680">
        <f t="shared" si="9"/>
        <v>20000</v>
      </c>
    </row>
    <row r="246" spans="1:11" ht="17.25" customHeight="1" x14ac:dyDescent="0.45">
      <c r="A246" s="744"/>
      <c r="B246" s="720" t="s">
        <v>1133</v>
      </c>
      <c r="C246" s="708"/>
      <c r="D246" s="179"/>
      <c r="E246" s="179"/>
      <c r="F246" s="179"/>
      <c r="G246" s="178"/>
      <c r="H246" s="178"/>
      <c r="I246" s="178"/>
      <c r="J246" s="658">
        <v>5000</v>
      </c>
      <c r="K246" s="680">
        <f t="shared" si="9"/>
        <v>5000</v>
      </c>
    </row>
    <row r="247" spans="1:11" ht="17.25" customHeight="1" x14ac:dyDescent="0.45">
      <c r="A247" s="744"/>
      <c r="B247" s="720" t="s">
        <v>1134</v>
      </c>
      <c r="C247" s="708"/>
      <c r="D247" s="179"/>
      <c r="E247" s="179"/>
      <c r="F247" s="179"/>
      <c r="G247" s="178"/>
      <c r="H247" s="178"/>
      <c r="I247" s="178"/>
      <c r="J247" s="658">
        <v>20000</v>
      </c>
      <c r="K247" s="680">
        <f t="shared" si="9"/>
        <v>20000</v>
      </c>
    </row>
    <row r="248" spans="1:11" ht="17.25" customHeight="1" x14ac:dyDescent="0.45">
      <c r="A248" s="744"/>
      <c r="B248" s="720" t="s">
        <v>1135</v>
      </c>
      <c r="C248" s="708"/>
      <c r="D248" s="179"/>
      <c r="E248" s="179"/>
      <c r="F248" s="179"/>
      <c r="G248" s="178"/>
      <c r="H248" s="178"/>
      <c r="I248" s="178"/>
      <c r="J248" s="658">
        <v>17000</v>
      </c>
      <c r="K248" s="680">
        <f t="shared" si="9"/>
        <v>17000</v>
      </c>
    </row>
    <row r="249" spans="1:11" ht="17.25" customHeight="1" x14ac:dyDescent="0.45">
      <c r="A249" s="744"/>
      <c r="B249" s="728" t="s">
        <v>1136</v>
      </c>
      <c r="C249" s="708"/>
      <c r="D249" s="179"/>
      <c r="E249" s="179"/>
      <c r="F249" s="179"/>
      <c r="G249" s="178"/>
      <c r="H249" s="178"/>
      <c r="I249" s="178"/>
      <c r="J249" s="659"/>
      <c r="K249" s="693">
        <f>SUM(K250:K254)</f>
        <v>38800</v>
      </c>
    </row>
    <row r="250" spans="1:11" ht="17.25" customHeight="1" x14ac:dyDescent="0.45">
      <c r="A250" s="744"/>
      <c r="B250" s="720" t="s">
        <v>1137</v>
      </c>
      <c r="C250" s="708"/>
      <c r="D250" s="179"/>
      <c r="E250" s="179"/>
      <c r="F250" s="179"/>
      <c r="G250" s="178"/>
      <c r="H250" s="178"/>
      <c r="I250" s="178"/>
      <c r="J250" s="658">
        <v>4000</v>
      </c>
      <c r="K250" s="694">
        <f>J250</f>
        <v>4000</v>
      </c>
    </row>
    <row r="251" spans="1:11" ht="17.25" customHeight="1" x14ac:dyDescent="0.45">
      <c r="A251" s="744"/>
      <c r="B251" s="720" t="s">
        <v>1138</v>
      </c>
      <c r="C251" s="708"/>
      <c r="D251" s="179"/>
      <c r="E251" s="179"/>
      <c r="F251" s="179"/>
      <c r="G251" s="178"/>
      <c r="H251" s="178"/>
      <c r="I251" s="178"/>
      <c r="J251" s="658">
        <v>4800</v>
      </c>
      <c r="K251" s="694">
        <f>J251</f>
        <v>4800</v>
      </c>
    </row>
    <row r="252" spans="1:11" ht="17.25" customHeight="1" x14ac:dyDescent="0.45">
      <c r="A252" s="744"/>
      <c r="B252" s="720" t="s">
        <v>1139</v>
      </c>
      <c r="C252" s="708"/>
      <c r="D252" s="179"/>
      <c r="E252" s="179"/>
      <c r="F252" s="179"/>
      <c r="G252" s="178"/>
      <c r="H252" s="178"/>
      <c r="I252" s="178"/>
      <c r="J252" s="658">
        <v>8000</v>
      </c>
      <c r="K252" s="694">
        <f>J252</f>
        <v>8000</v>
      </c>
    </row>
    <row r="253" spans="1:11" ht="17.25" customHeight="1" x14ac:dyDescent="0.45">
      <c r="A253" s="744"/>
      <c r="B253" s="720" t="s">
        <v>1140</v>
      </c>
      <c r="C253" s="708"/>
      <c r="D253" s="179"/>
      <c r="E253" s="179"/>
      <c r="F253" s="179"/>
      <c r="G253" s="178"/>
      <c r="H253" s="178"/>
      <c r="I253" s="178"/>
      <c r="J253" s="658">
        <v>12000</v>
      </c>
      <c r="K253" s="694">
        <f>J253</f>
        <v>12000</v>
      </c>
    </row>
    <row r="254" spans="1:11" ht="17.25" customHeight="1" x14ac:dyDescent="0.45">
      <c r="A254" s="744"/>
      <c r="B254" s="720" t="s">
        <v>1141</v>
      </c>
      <c r="C254" s="708"/>
      <c r="D254" s="179"/>
      <c r="E254" s="179"/>
      <c r="F254" s="179"/>
      <c r="G254" s="178"/>
      <c r="H254" s="178"/>
      <c r="I254" s="178"/>
      <c r="J254" s="658">
        <v>10000</v>
      </c>
      <c r="K254" s="694">
        <f>J254</f>
        <v>10000</v>
      </c>
    </row>
    <row r="255" spans="1:11" ht="17.25" customHeight="1" x14ac:dyDescent="0.45">
      <c r="A255" s="744"/>
      <c r="B255" s="721" t="s">
        <v>1142</v>
      </c>
      <c r="C255" s="708"/>
      <c r="D255" s="179"/>
      <c r="E255" s="179"/>
      <c r="F255" s="179"/>
      <c r="G255" s="178"/>
      <c r="H255" s="178"/>
      <c r="I255" s="178"/>
      <c r="J255" s="658"/>
      <c r="K255" s="692"/>
    </row>
    <row r="256" spans="1:11" ht="17.25" customHeight="1" x14ac:dyDescent="0.45">
      <c r="A256" s="744"/>
      <c r="B256" s="718" t="s">
        <v>970</v>
      </c>
      <c r="C256" s="630"/>
      <c r="D256" s="42"/>
      <c r="E256" s="42"/>
      <c r="F256" s="41"/>
      <c r="G256" s="42"/>
      <c r="H256" s="42"/>
      <c r="I256" s="42"/>
      <c r="J256" s="664"/>
      <c r="K256" s="695">
        <f>SUM(K257+K266+K274+K278+K282+K290+K291+K297)</f>
        <v>3954000</v>
      </c>
    </row>
    <row r="257" spans="1:11" ht="17.25" customHeight="1" x14ac:dyDescent="0.45">
      <c r="A257" s="744"/>
      <c r="B257" s="729" t="s">
        <v>1143</v>
      </c>
      <c r="C257" s="630"/>
      <c r="D257" s="42"/>
      <c r="E257" s="42"/>
      <c r="F257" s="41"/>
      <c r="G257" s="42"/>
      <c r="H257" s="42"/>
      <c r="I257" s="42"/>
      <c r="J257" s="664"/>
      <c r="K257" s="683">
        <f>SUM(K258:K265)</f>
        <v>361800</v>
      </c>
    </row>
    <row r="258" spans="1:11" ht="17.25" customHeight="1" x14ac:dyDescent="0.45">
      <c r="A258" s="744"/>
      <c r="B258" s="719" t="s">
        <v>1144</v>
      </c>
      <c r="C258" s="630"/>
      <c r="D258" s="42"/>
      <c r="E258" s="42"/>
      <c r="F258" s="41"/>
      <c r="G258" s="42">
        <v>400</v>
      </c>
      <c r="H258" s="42" t="s">
        <v>672</v>
      </c>
      <c r="I258" s="42"/>
      <c r="J258" s="664">
        <v>600</v>
      </c>
      <c r="K258" s="683">
        <f>G258*J258</f>
        <v>240000</v>
      </c>
    </row>
    <row r="259" spans="1:11" ht="17.25" customHeight="1" x14ac:dyDescent="0.45">
      <c r="A259" s="744"/>
      <c r="B259" s="719" t="s">
        <v>1145</v>
      </c>
      <c r="C259" s="630"/>
      <c r="D259" s="42"/>
      <c r="E259" s="42"/>
      <c r="F259" s="41"/>
      <c r="G259" s="42">
        <v>24</v>
      </c>
      <c r="H259" s="42" t="s">
        <v>1146</v>
      </c>
      <c r="I259" s="42"/>
      <c r="J259" s="664">
        <v>1200</v>
      </c>
      <c r="K259" s="683">
        <f t="shared" ref="K259:K264" si="10">G259*J259</f>
        <v>28800</v>
      </c>
    </row>
    <row r="260" spans="1:11" ht="17.25" customHeight="1" x14ac:dyDescent="0.45">
      <c r="A260" s="744"/>
      <c r="B260" s="719" t="s">
        <v>1147</v>
      </c>
      <c r="C260" s="630"/>
      <c r="D260" s="42"/>
      <c r="E260" s="42"/>
      <c r="F260" s="41"/>
      <c r="G260" s="42">
        <v>4</v>
      </c>
      <c r="H260" s="42" t="s">
        <v>7</v>
      </c>
      <c r="I260" s="42"/>
      <c r="J260" s="664">
        <v>5000</v>
      </c>
      <c r="K260" s="683">
        <f t="shared" si="10"/>
        <v>20000</v>
      </c>
    </row>
    <row r="261" spans="1:11" ht="17.25" customHeight="1" x14ac:dyDescent="0.45">
      <c r="A261" s="744"/>
      <c r="B261" s="719" t="s">
        <v>1148</v>
      </c>
      <c r="C261" s="630"/>
      <c r="D261" s="42"/>
      <c r="E261" s="42"/>
      <c r="F261" s="41"/>
      <c r="G261" s="42">
        <v>4</v>
      </c>
      <c r="H261" s="42" t="s">
        <v>7</v>
      </c>
      <c r="I261" s="42"/>
      <c r="J261" s="664">
        <v>5000</v>
      </c>
      <c r="K261" s="683">
        <f t="shared" si="10"/>
        <v>20000</v>
      </c>
    </row>
    <row r="262" spans="1:11" ht="17.25" customHeight="1" x14ac:dyDescent="0.45">
      <c r="A262" s="744"/>
      <c r="B262" s="719" t="s">
        <v>1149</v>
      </c>
      <c r="C262" s="630"/>
      <c r="D262" s="42"/>
      <c r="E262" s="42"/>
      <c r="F262" s="41"/>
      <c r="G262" s="42">
        <v>400</v>
      </c>
      <c r="H262" s="42" t="s">
        <v>39</v>
      </c>
      <c r="I262" s="42"/>
      <c r="J262" s="664">
        <v>70</v>
      </c>
      <c r="K262" s="683">
        <f>G262*J262</f>
        <v>28000</v>
      </c>
    </row>
    <row r="263" spans="1:11" ht="17.25" customHeight="1" x14ac:dyDescent="0.45">
      <c r="A263" s="744"/>
      <c r="B263" s="719" t="s">
        <v>1150</v>
      </c>
      <c r="C263" s="630"/>
      <c r="D263" s="42"/>
      <c r="E263" s="42"/>
      <c r="F263" s="41"/>
      <c r="G263" s="42">
        <v>8</v>
      </c>
      <c r="H263" s="42" t="s">
        <v>26</v>
      </c>
      <c r="I263" s="42"/>
      <c r="J263" s="664">
        <v>1000</v>
      </c>
      <c r="K263" s="683">
        <f t="shared" si="10"/>
        <v>8000</v>
      </c>
    </row>
    <row r="264" spans="1:11" ht="17.25" customHeight="1" x14ac:dyDescent="0.45">
      <c r="A264" s="744"/>
      <c r="B264" s="719" t="s">
        <v>1151</v>
      </c>
      <c r="C264" s="630"/>
      <c r="D264" s="42"/>
      <c r="E264" s="42"/>
      <c r="F264" s="41"/>
      <c r="G264" s="42">
        <v>8</v>
      </c>
      <c r="H264" s="42" t="s">
        <v>26</v>
      </c>
      <c r="I264" s="42"/>
      <c r="J264" s="664">
        <v>1500</v>
      </c>
      <c r="K264" s="683">
        <f t="shared" si="10"/>
        <v>12000</v>
      </c>
    </row>
    <row r="265" spans="1:11" ht="17.25" customHeight="1" x14ac:dyDescent="0.45">
      <c r="A265" s="744"/>
      <c r="B265" s="719" t="s">
        <v>1152</v>
      </c>
      <c r="C265" s="630"/>
      <c r="D265" s="42"/>
      <c r="E265" s="42"/>
      <c r="F265" s="41"/>
      <c r="G265" s="42">
        <v>150</v>
      </c>
      <c r="H265" s="42" t="s">
        <v>8</v>
      </c>
      <c r="I265" s="42"/>
      <c r="J265" s="664" t="s">
        <v>242</v>
      </c>
      <c r="K265" s="683">
        <v>5000</v>
      </c>
    </row>
    <row r="266" spans="1:11" ht="17.25" customHeight="1" x14ac:dyDescent="0.45">
      <c r="A266" s="744"/>
      <c r="B266" s="729" t="s">
        <v>1153</v>
      </c>
      <c r="C266" s="630"/>
      <c r="D266" s="42"/>
      <c r="E266" s="42"/>
      <c r="F266" s="41"/>
      <c r="G266" s="42"/>
      <c r="H266" s="42"/>
      <c r="I266" s="42"/>
      <c r="J266" s="664"/>
      <c r="K266" s="683">
        <f>SUM(K267:K273)</f>
        <v>244700</v>
      </c>
    </row>
    <row r="267" spans="1:11" ht="17.25" customHeight="1" x14ac:dyDescent="0.45">
      <c r="A267" s="744"/>
      <c r="B267" s="719" t="s">
        <v>1144</v>
      </c>
      <c r="C267" s="630"/>
      <c r="D267" s="42"/>
      <c r="E267" s="42"/>
      <c r="F267" s="41"/>
      <c r="G267" s="42">
        <v>300</v>
      </c>
      <c r="H267" s="42" t="s">
        <v>672</v>
      </c>
      <c r="I267" s="42"/>
      <c r="J267" s="664">
        <v>600</v>
      </c>
      <c r="K267" s="683">
        <f t="shared" ref="K267:K280" si="11">G267*J267</f>
        <v>180000</v>
      </c>
    </row>
    <row r="268" spans="1:11" ht="17.25" customHeight="1" x14ac:dyDescent="0.45">
      <c r="A268" s="744"/>
      <c r="B268" s="719" t="s">
        <v>1145</v>
      </c>
      <c r="C268" s="630"/>
      <c r="D268" s="42"/>
      <c r="E268" s="42"/>
      <c r="F268" s="41"/>
      <c r="G268" s="42">
        <v>6</v>
      </c>
      <c r="H268" s="42" t="s">
        <v>1146</v>
      </c>
      <c r="I268" s="42"/>
      <c r="J268" s="664">
        <v>1200</v>
      </c>
      <c r="K268" s="683">
        <f t="shared" si="11"/>
        <v>7200</v>
      </c>
    </row>
    <row r="269" spans="1:11" ht="17.25" customHeight="1" x14ac:dyDescent="0.45">
      <c r="A269" s="744"/>
      <c r="B269" s="719" t="s">
        <v>1147</v>
      </c>
      <c r="C269" s="630"/>
      <c r="D269" s="42"/>
      <c r="E269" s="42"/>
      <c r="F269" s="41"/>
      <c r="G269" s="42">
        <v>1</v>
      </c>
      <c r="H269" s="42" t="s">
        <v>7</v>
      </c>
      <c r="I269" s="42"/>
      <c r="J269" s="664">
        <v>5000</v>
      </c>
      <c r="K269" s="683">
        <f t="shared" si="11"/>
        <v>5000</v>
      </c>
    </row>
    <row r="270" spans="1:11" ht="17.25" customHeight="1" x14ac:dyDescent="0.45">
      <c r="A270" s="744"/>
      <c r="B270" s="719" t="s">
        <v>1148</v>
      </c>
      <c r="C270" s="630"/>
      <c r="D270" s="42"/>
      <c r="E270" s="42"/>
      <c r="F270" s="41"/>
      <c r="G270" s="42">
        <v>1</v>
      </c>
      <c r="H270" s="42" t="s">
        <v>7</v>
      </c>
      <c r="I270" s="42"/>
      <c r="J270" s="664">
        <v>5000</v>
      </c>
      <c r="K270" s="683">
        <f t="shared" si="11"/>
        <v>5000</v>
      </c>
    </row>
    <row r="271" spans="1:11" ht="17.25" customHeight="1" x14ac:dyDescent="0.45">
      <c r="A271" s="744"/>
      <c r="B271" s="719" t="s">
        <v>1149</v>
      </c>
      <c r="C271" s="630"/>
      <c r="D271" s="42"/>
      <c r="E271" s="42"/>
      <c r="F271" s="41"/>
      <c r="G271" s="42">
        <v>300</v>
      </c>
      <c r="H271" s="42" t="s">
        <v>39</v>
      </c>
      <c r="I271" s="42"/>
      <c r="J271" s="664">
        <v>150</v>
      </c>
      <c r="K271" s="683">
        <f t="shared" si="11"/>
        <v>45000</v>
      </c>
    </row>
    <row r="272" spans="1:11" ht="17.25" customHeight="1" x14ac:dyDescent="0.45">
      <c r="A272" s="744"/>
      <c r="B272" s="719" t="s">
        <v>1150</v>
      </c>
      <c r="C272" s="630"/>
      <c r="D272" s="42"/>
      <c r="E272" s="42"/>
      <c r="F272" s="41"/>
      <c r="G272" s="42">
        <v>1</v>
      </c>
      <c r="H272" s="42" t="s">
        <v>26</v>
      </c>
      <c r="I272" s="42"/>
      <c r="J272" s="664">
        <v>1000</v>
      </c>
      <c r="K272" s="683">
        <f t="shared" si="11"/>
        <v>1000</v>
      </c>
    </row>
    <row r="273" spans="1:11" ht="17.25" customHeight="1" x14ac:dyDescent="0.45">
      <c r="A273" s="744"/>
      <c r="B273" s="719" t="s">
        <v>1151</v>
      </c>
      <c r="C273" s="630"/>
      <c r="D273" s="42"/>
      <c r="E273" s="42"/>
      <c r="F273" s="41"/>
      <c r="G273" s="42">
        <v>1</v>
      </c>
      <c r="H273" s="42" t="s">
        <v>26</v>
      </c>
      <c r="I273" s="42"/>
      <c r="J273" s="664">
        <v>1500</v>
      </c>
      <c r="K273" s="683">
        <f t="shared" si="11"/>
        <v>1500</v>
      </c>
    </row>
    <row r="274" spans="1:11" ht="17.25" customHeight="1" x14ac:dyDescent="0.45">
      <c r="A274" s="744"/>
      <c r="B274" s="729" t="s">
        <v>1154</v>
      </c>
      <c r="C274" s="630"/>
      <c r="D274" s="42"/>
      <c r="E274" s="42"/>
      <c r="F274" s="41"/>
      <c r="G274" s="42"/>
      <c r="H274" s="42"/>
      <c r="I274" s="42"/>
      <c r="J274" s="664"/>
      <c r="K274" s="683">
        <f>SUM(K275:K277)</f>
        <v>1525000</v>
      </c>
    </row>
    <row r="275" spans="1:11" ht="17.25" customHeight="1" x14ac:dyDescent="0.45">
      <c r="A275" s="744"/>
      <c r="B275" s="719" t="s">
        <v>1150</v>
      </c>
      <c r="C275" s="630"/>
      <c r="D275" s="42"/>
      <c r="E275" s="42"/>
      <c r="F275" s="41"/>
      <c r="G275" s="42">
        <v>250</v>
      </c>
      <c r="H275" s="42" t="s">
        <v>26</v>
      </c>
      <c r="I275" s="42"/>
      <c r="J275" s="664">
        <v>1000</v>
      </c>
      <c r="K275" s="683">
        <f t="shared" si="11"/>
        <v>250000</v>
      </c>
    </row>
    <row r="276" spans="1:11" ht="17.25" customHeight="1" x14ac:dyDescent="0.45">
      <c r="A276" s="744"/>
      <c r="B276" s="719" t="s">
        <v>1151</v>
      </c>
      <c r="C276" s="630"/>
      <c r="D276" s="42"/>
      <c r="E276" s="42"/>
      <c r="F276" s="41"/>
      <c r="G276" s="42">
        <v>250</v>
      </c>
      <c r="H276" s="42" t="s">
        <v>26</v>
      </c>
      <c r="I276" s="42"/>
      <c r="J276" s="664">
        <v>1500</v>
      </c>
      <c r="K276" s="683">
        <f t="shared" si="11"/>
        <v>375000</v>
      </c>
    </row>
    <row r="277" spans="1:11" ht="17.25" customHeight="1" x14ac:dyDescent="0.45">
      <c r="A277" s="744"/>
      <c r="B277" s="719" t="s">
        <v>1155</v>
      </c>
      <c r="C277" s="630"/>
      <c r="D277" s="42"/>
      <c r="E277" s="42"/>
      <c r="F277" s="41"/>
      <c r="G277" s="42">
        <v>180</v>
      </c>
      <c r="H277" s="42" t="s">
        <v>1156</v>
      </c>
      <c r="I277" s="42"/>
      <c r="J277" s="664">
        <v>5000</v>
      </c>
      <c r="K277" s="683">
        <f t="shared" si="11"/>
        <v>900000</v>
      </c>
    </row>
    <row r="278" spans="1:11" ht="17.25" customHeight="1" x14ac:dyDescent="0.45">
      <c r="A278" s="744"/>
      <c r="B278" s="729" t="s">
        <v>1157</v>
      </c>
      <c r="C278" s="630"/>
      <c r="D278" s="42"/>
      <c r="E278" s="42"/>
      <c r="F278" s="41"/>
      <c r="G278" s="42"/>
      <c r="H278" s="42"/>
      <c r="I278" s="42"/>
      <c r="J278" s="664"/>
      <c r="K278" s="683">
        <f>SUM(K279:K281)</f>
        <v>500000</v>
      </c>
    </row>
    <row r="279" spans="1:11" ht="17.25" customHeight="1" x14ac:dyDescent="0.45">
      <c r="A279" s="744"/>
      <c r="B279" s="719" t="s">
        <v>1150</v>
      </c>
      <c r="C279" s="630"/>
      <c r="D279" s="42"/>
      <c r="E279" s="42"/>
      <c r="F279" s="41"/>
      <c r="G279" s="42">
        <v>80</v>
      </c>
      <c r="H279" s="42" t="s">
        <v>26</v>
      </c>
      <c r="I279" s="42"/>
      <c r="J279" s="664">
        <v>1000</v>
      </c>
      <c r="K279" s="683">
        <f t="shared" si="11"/>
        <v>80000</v>
      </c>
    </row>
    <row r="280" spans="1:11" ht="17.25" customHeight="1" x14ac:dyDescent="0.45">
      <c r="A280" s="744"/>
      <c r="B280" s="719" t="s">
        <v>1151</v>
      </c>
      <c r="C280" s="630"/>
      <c r="D280" s="42"/>
      <c r="E280" s="42"/>
      <c r="F280" s="41"/>
      <c r="G280" s="42">
        <v>80</v>
      </c>
      <c r="H280" s="42" t="s">
        <v>26</v>
      </c>
      <c r="I280" s="42"/>
      <c r="J280" s="664">
        <v>1500</v>
      </c>
      <c r="K280" s="683">
        <f t="shared" si="11"/>
        <v>120000</v>
      </c>
    </row>
    <row r="281" spans="1:11" ht="17.25" customHeight="1" x14ac:dyDescent="0.45">
      <c r="A281" s="744"/>
      <c r="B281" s="719" t="s">
        <v>1155</v>
      </c>
      <c r="C281" s="630"/>
      <c r="D281" s="42"/>
      <c r="E281" s="42"/>
      <c r="F281" s="41"/>
      <c r="G281" s="42">
        <v>60</v>
      </c>
      <c r="H281" s="42" t="s">
        <v>1156</v>
      </c>
      <c r="I281" s="42"/>
      <c r="J281" s="664">
        <v>5000</v>
      </c>
      <c r="K281" s="683">
        <f>G281*J281</f>
        <v>300000</v>
      </c>
    </row>
    <row r="282" spans="1:11" ht="17.25" customHeight="1" x14ac:dyDescent="0.45">
      <c r="A282" s="744"/>
      <c r="B282" s="729" t="s">
        <v>1158</v>
      </c>
      <c r="C282" s="630"/>
      <c r="D282" s="42"/>
      <c r="E282" s="42"/>
      <c r="F282" s="41"/>
      <c r="G282" s="42"/>
      <c r="H282" s="42"/>
      <c r="I282" s="42"/>
      <c r="J282" s="664"/>
      <c r="K282" s="695">
        <f>SUM(K283:K289)</f>
        <v>242900</v>
      </c>
    </row>
    <row r="283" spans="1:11" ht="17.25" customHeight="1" x14ac:dyDescent="0.45">
      <c r="A283" s="744"/>
      <c r="B283" s="719" t="s">
        <v>1144</v>
      </c>
      <c r="C283" s="630"/>
      <c r="D283" s="42"/>
      <c r="E283" s="42"/>
      <c r="F283" s="41"/>
      <c r="G283" s="42">
        <v>300</v>
      </c>
      <c r="H283" s="42" t="s">
        <v>672</v>
      </c>
      <c r="I283" s="42"/>
      <c r="J283" s="664">
        <v>600</v>
      </c>
      <c r="K283" s="683">
        <f>G283*J283</f>
        <v>180000</v>
      </c>
    </row>
    <row r="284" spans="1:11" ht="17.25" customHeight="1" x14ac:dyDescent="0.45">
      <c r="A284" s="744"/>
      <c r="B284" s="719" t="s">
        <v>1145</v>
      </c>
      <c r="C284" s="630"/>
      <c r="D284" s="42"/>
      <c r="E284" s="42"/>
      <c r="F284" s="41"/>
      <c r="G284" s="42">
        <v>12</v>
      </c>
      <c r="H284" s="42" t="s">
        <v>1146</v>
      </c>
      <c r="I284" s="42"/>
      <c r="J284" s="664">
        <v>1200</v>
      </c>
      <c r="K284" s="683">
        <f t="shared" ref="K284:K290" si="12">G284*J284</f>
        <v>14400</v>
      </c>
    </row>
    <row r="285" spans="1:11" ht="17.25" customHeight="1" x14ac:dyDescent="0.45">
      <c r="A285" s="742"/>
      <c r="B285" s="719" t="s">
        <v>1159</v>
      </c>
      <c r="C285" s="630"/>
      <c r="D285" s="42"/>
      <c r="E285" s="42"/>
      <c r="F285" s="41"/>
      <c r="G285" s="42">
        <v>2</v>
      </c>
      <c r="H285" s="42" t="s">
        <v>7</v>
      </c>
      <c r="I285" s="42"/>
      <c r="J285" s="664">
        <v>5000</v>
      </c>
      <c r="K285" s="683">
        <f t="shared" si="12"/>
        <v>10000</v>
      </c>
    </row>
    <row r="286" spans="1:11" ht="17.25" customHeight="1" x14ac:dyDescent="0.45">
      <c r="A286" s="744"/>
      <c r="B286" s="719" t="s">
        <v>1148</v>
      </c>
      <c r="C286" s="630"/>
      <c r="D286" s="42"/>
      <c r="E286" s="42"/>
      <c r="F286" s="41"/>
      <c r="G286" s="42">
        <v>2</v>
      </c>
      <c r="H286" s="42" t="s">
        <v>7</v>
      </c>
      <c r="I286" s="42"/>
      <c r="J286" s="664">
        <v>5000</v>
      </c>
      <c r="K286" s="683">
        <f t="shared" si="12"/>
        <v>10000</v>
      </c>
    </row>
    <row r="287" spans="1:11" ht="17.25" customHeight="1" x14ac:dyDescent="0.45">
      <c r="A287" s="744"/>
      <c r="B287" s="719" t="s">
        <v>1160</v>
      </c>
      <c r="C287" s="630"/>
      <c r="D287" s="42"/>
      <c r="E287" s="42"/>
      <c r="F287" s="41"/>
      <c r="G287" s="42">
        <v>300</v>
      </c>
      <c r="H287" s="42" t="s">
        <v>39</v>
      </c>
      <c r="I287" s="42"/>
      <c r="J287" s="664">
        <v>70</v>
      </c>
      <c r="K287" s="683">
        <f t="shared" si="12"/>
        <v>21000</v>
      </c>
    </row>
    <row r="288" spans="1:11" ht="17.25" customHeight="1" x14ac:dyDescent="0.45">
      <c r="A288" s="744"/>
      <c r="B288" s="719" t="s">
        <v>1150</v>
      </c>
      <c r="C288" s="630"/>
      <c r="D288" s="42"/>
      <c r="E288" s="42"/>
      <c r="F288" s="41"/>
      <c r="G288" s="42">
        <v>3</v>
      </c>
      <c r="H288" s="42" t="s">
        <v>26</v>
      </c>
      <c r="I288" s="42"/>
      <c r="J288" s="664">
        <v>1000</v>
      </c>
      <c r="K288" s="683">
        <f t="shared" si="12"/>
        <v>3000</v>
      </c>
    </row>
    <row r="289" spans="1:11" ht="17.25" customHeight="1" x14ac:dyDescent="0.45">
      <c r="A289" s="744"/>
      <c r="B289" s="719" t="s">
        <v>1151</v>
      </c>
      <c r="C289" s="630"/>
      <c r="D289" s="42"/>
      <c r="E289" s="42"/>
      <c r="F289" s="41"/>
      <c r="G289" s="42">
        <v>3</v>
      </c>
      <c r="H289" s="42" t="s">
        <v>26</v>
      </c>
      <c r="I289" s="42"/>
      <c r="J289" s="664">
        <v>1500</v>
      </c>
      <c r="K289" s="683">
        <f t="shared" si="12"/>
        <v>4500</v>
      </c>
    </row>
    <row r="290" spans="1:11" ht="17.25" customHeight="1" x14ac:dyDescent="0.45">
      <c r="A290" s="744"/>
      <c r="B290" s="729" t="s">
        <v>1161</v>
      </c>
      <c r="C290" s="630"/>
      <c r="D290" s="42"/>
      <c r="E290" s="42"/>
      <c r="F290" s="41"/>
      <c r="G290" s="42">
        <v>2</v>
      </c>
      <c r="H290" s="42" t="s">
        <v>1162</v>
      </c>
      <c r="I290" s="42"/>
      <c r="J290" s="664">
        <v>450000</v>
      </c>
      <c r="K290" s="683">
        <f t="shared" si="12"/>
        <v>900000</v>
      </c>
    </row>
    <row r="291" spans="1:11" ht="17.25" customHeight="1" x14ac:dyDescent="0.45">
      <c r="A291" s="744"/>
      <c r="B291" s="729" t="s">
        <v>463</v>
      </c>
      <c r="C291" s="630"/>
      <c r="D291" s="42"/>
      <c r="E291" s="42"/>
      <c r="F291" s="41"/>
      <c r="G291" s="42"/>
      <c r="H291" s="42"/>
      <c r="I291" s="42"/>
      <c r="J291" s="664"/>
      <c r="K291" s="695">
        <f>SUM(K292:K296)</f>
        <v>26000</v>
      </c>
    </row>
    <row r="292" spans="1:11" ht="17.25" customHeight="1" x14ac:dyDescent="0.45">
      <c r="A292" s="744"/>
      <c r="B292" s="719" t="s">
        <v>1163</v>
      </c>
      <c r="C292" s="630"/>
      <c r="D292" s="42"/>
      <c r="E292" s="42"/>
      <c r="F292" s="41"/>
      <c r="G292" s="42">
        <v>10</v>
      </c>
      <c r="H292" s="42" t="s">
        <v>9</v>
      </c>
      <c r="I292" s="42"/>
      <c r="J292" s="664">
        <v>350</v>
      </c>
      <c r="K292" s="683">
        <f>J292*G292</f>
        <v>3500</v>
      </c>
    </row>
    <row r="293" spans="1:11" ht="17.25" customHeight="1" x14ac:dyDescent="0.45">
      <c r="A293" s="744"/>
      <c r="B293" s="719" t="s">
        <v>1164</v>
      </c>
      <c r="C293" s="630"/>
      <c r="D293" s="42"/>
      <c r="E293" s="42"/>
      <c r="F293" s="41"/>
      <c r="G293" s="42">
        <v>10</v>
      </c>
      <c r="H293" s="42" t="s">
        <v>9</v>
      </c>
      <c r="I293" s="42"/>
      <c r="J293" s="664">
        <v>350</v>
      </c>
      <c r="K293" s="683">
        <f>J293*G293</f>
        <v>3500</v>
      </c>
    </row>
    <row r="294" spans="1:11" ht="17.25" customHeight="1" x14ac:dyDescent="0.45">
      <c r="A294" s="744"/>
      <c r="B294" s="719" t="s">
        <v>1165</v>
      </c>
      <c r="C294" s="630"/>
      <c r="D294" s="42"/>
      <c r="E294" s="42"/>
      <c r="F294" s="41"/>
      <c r="G294" s="42">
        <v>10</v>
      </c>
      <c r="H294" s="42" t="s">
        <v>9</v>
      </c>
      <c r="I294" s="42"/>
      <c r="J294" s="664">
        <v>400</v>
      </c>
      <c r="K294" s="683">
        <f>J294*G294</f>
        <v>4000</v>
      </c>
    </row>
    <row r="295" spans="1:11" ht="17.25" customHeight="1" x14ac:dyDescent="0.45">
      <c r="A295" s="744"/>
      <c r="B295" s="719" t="s">
        <v>1166</v>
      </c>
      <c r="C295" s="630"/>
      <c r="D295" s="42"/>
      <c r="E295" s="42"/>
      <c r="F295" s="41"/>
      <c r="G295" s="42">
        <v>10</v>
      </c>
      <c r="H295" s="42" t="s">
        <v>9</v>
      </c>
      <c r="I295" s="42"/>
      <c r="J295" s="664">
        <v>1000</v>
      </c>
      <c r="K295" s="683">
        <f>J295*G295</f>
        <v>10000</v>
      </c>
    </row>
    <row r="296" spans="1:11" ht="17.25" customHeight="1" x14ac:dyDescent="0.45">
      <c r="A296" s="744"/>
      <c r="B296" s="719" t="s">
        <v>1167</v>
      </c>
      <c r="C296" s="630"/>
      <c r="D296" s="42"/>
      <c r="E296" s="42"/>
      <c r="F296" s="41"/>
      <c r="G296" s="42">
        <v>10</v>
      </c>
      <c r="H296" s="42" t="s">
        <v>9</v>
      </c>
      <c r="I296" s="42"/>
      <c r="J296" s="664">
        <v>500</v>
      </c>
      <c r="K296" s="683">
        <f>J296*G296</f>
        <v>5000</v>
      </c>
    </row>
    <row r="297" spans="1:11" ht="17.25" customHeight="1" x14ac:dyDescent="0.45">
      <c r="A297" s="744"/>
      <c r="B297" s="729" t="s">
        <v>1168</v>
      </c>
      <c r="C297" s="630"/>
      <c r="D297" s="42"/>
      <c r="E297" s="42"/>
      <c r="F297" s="41"/>
      <c r="G297" s="42"/>
      <c r="H297" s="42"/>
      <c r="I297" s="42"/>
      <c r="J297" s="664" t="s">
        <v>242</v>
      </c>
      <c r="K297" s="683">
        <v>153600</v>
      </c>
    </row>
    <row r="298" spans="1:11" ht="17.25" customHeight="1" x14ac:dyDescent="0.45">
      <c r="A298" s="744"/>
      <c r="B298" s="721" t="s">
        <v>1169</v>
      </c>
      <c r="C298" s="630"/>
      <c r="D298" s="42"/>
      <c r="E298" s="42"/>
      <c r="F298" s="41"/>
      <c r="G298" s="42"/>
      <c r="H298" s="42"/>
      <c r="I298" s="42"/>
      <c r="J298" s="664"/>
      <c r="K298" s="696"/>
    </row>
    <row r="299" spans="1:11" ht="17.25" customHeight="1" x14ac:dyDescent="0.45">
      <c r="A299" s="744"/>
      <c r="B299" s="718" t="s">
        <v>970</v>
      </c>
      <c r="C299" s="630"/>
      <c r="D299" s="42"/>
      <c r="E299" s="42"/>
      <c r="F299" s="41"/>
      <c r="G299" s="42"/>
      <c r="H299" s="42"/>
      <c r="I299" s="42"/>
      <c r="J299" s="664"/>
      <c r="K299" s="695">
        <f>SUM(K300+K307+K312+K316)</f>
        <v>4750000</v>
      </c>
    </row>
    <row r="300" spans="1:11" ht="17.25" customHeight="1" x14ac:dyDescent="0.45">
      <c r="A300" s="744"/>
      <c r="B300" s="729" t="s">
        <v>1170</v>
      </c>
      <c r="C300" s="630"/>
      <c r="D300" s="42"/>
      <c r="E300" s="42"/>
      <c r="F300" s="41"/>
      <c r="G300" s="42"/>
      <c r="H300" s="42"/>
      <c r="I300" s="42"/>
      <c r="J300" s="664"/>
      <c r="K300" s="683">
        <f>SUM(K302:K306)</f>
        <v>388200</v>
      </c>
    </row>
    <row r="301" spans="1:11" ht="17.25" customHeight="1" x14ac:dyDescent="0.45">
      <c r="A301" s="744"/>
      <c r="B301" s="719" t="s">
        <v>1144</v>
      </c>
      <c r="C301" s="630"/>
      <c r="D301" s="42"/>
      <c r="E301" s="42"/>
      <c r="F301" s="41"/>
      <c r="G301" s="42">
        <v>10</v>
      </c>
      <c r="H301" s="42" t="s">
        <v>672</v>
      </c>
      <c r="I301" s="42"/>
      <c r="J301" s="664">
        <v>600</v>
      </c>
      <c r="K301" s="683">
        <f>G301*J301</f>
        <v>6000</v>
      </c>
    </row>
    <row r="302" spans="1:11" ht="17.25" customHeight="1" x14ac:dyDescent="0.45">
      <c r="A302" s="744"/>
      <c r="B302" s="719" t="s">
        <v>1171</v>
      </c>
      <c r="C302" s="630"/>
      <c r="D302" s="42"/>
      <c r="E302" s="42"/>
      <c r="F302" s="41"/>
      <c r="G302" s="42">
        <v>10</v>
      </c>
      <c r="H302" s="42" t="s">
        <v>672</v>
      </c>
      <c r="I302" s="42"/>
      <c r="J302" s="664">
        <v>7200</v>
      </c>
      <c r="K302" s="683">
        <f>G302*J302</f>
        <v>72000</v>
      </c>
    </row>
    <row r="303" spans="1:11" ht="17.25" customHeight="1" x14ac:dyDescent="0.45">
      <c r="A303" s="744"/>
      <c r="B303" s="719" t="s">
        <v>1172</v>
      </c>
      <c r="C303" s="630"/>
      <c r="D303" s="42"/>
      <c r="E303" s="42"/>
      <c r="F303" s="41"/>
      <c r="G303" s="42">
        <v>1</v>
      </c>
      <c r="H303" s="42" t="s">
        <v>26</v>
      </c>
      <c r="I303" s="42"/>
      <c r="J303" s="664">
        <v>12000</v>
      </c>
      <c r="K303" s="683">
        <f>G303*J303</f>
        <v>12000</v>
      </c>
    </row>
    <row r="304" spans="1:11" ht="17.25" customHeight="1" x14ac:dyDescent="0.45">
      <c r="A304" s="744"/>
      <c r="B304" s="719" t="s">
        <v>1173</v>
      </c>
      <c r="C304" s="630"/>
      <c r="D304" s="42"/>
      <c r="E304" s="42"/>
      <c r="F304" s="41"/>
      <c r="G304" s="42">
        <v>60</v>
      </c>
      <c r="H304" s="42" t="s">
        <v>8</v>
      </c>
      <c r="I304" s="42"/>
      <c r="J304" s="664">
        <v>70</v>
      </c>
      <c r="K304" s="683">
        <f>J304*G304</f>
        <v>4200</v>
      </c>
    </row>
    <row r="305" spans="1:11" ht="17.25" customHeight="1" x14ac:dyDescent="0.45">
      <c r="A305" s="744"/>
      <c r="B305" s="719" t="s">
        <v>1174</v>
      </c>
      <c r="C305" s="630"/>
      <c r="D305" s="42"/>
      <c r="E305" s="42"/>
      <c r="F305" s="41"/>
      <c r="G305" s="42">
        <v>50000</v>
      </c>
      <c r="H305" s="42" t="s">
        <v>1175</v>
      </c>
      <c r="I305" s="42"/>
      <c r="J305" s="664"/>
      <c r="K305" s="683">
        <f>G305</f>
        <v>50000</v>
      </c>
    </row>
    <row r="306" spans="1:11" ht="17.25" customHeight="1" x14ac:dyDescent="0.45">
      <c r="A306" s="744"/>
      <c r="B306" s="719" t="s">
        <v>1176</v>
      </c>
      <c r="C306" s="630"/>
      <c r="D306" s="42"/>
      <c r="E306" s="42"/>
      <c r="F306" s="41"/>
      <c r="G306" s="42">
        <v>500</v>
      </c>
      <c r="H306" s="42" t="s">
        <v>1177</v>
      </c>
      <c r="I306" s="42"/>
      <c r="J306" s="664">
        <v>500</v>
      </c>
      <c r="K306" s="683">
        <f>J306*G306</f>
        <v>250000</v>
      </c>
    </row>
    <row r="307" spans="1:11" ht="17.25" customHeight="1" x14ac:dyDescent="0.45">
      <c r="A307" s="744"/>
      <c r="B307" s="729" t="s">
        <v>1178</v>
      </c>
      <c r="C307" s="630"/>
      <c r="D307" s="42"/>
      <c r="E307" s="42"/>
      <c r="F307" s="41"/>
      <c r="G307" s="42"/>
      <c r="H307" s="42"/>
      <c r="I307" s="42"/>
      <c r="J307" s="664"/>
      <c r="K307" s="683">
        <f>SUM(K308:K311)</f>
        <v>223000</v>
      </c>
    </row>
    <row r="308" spans="1:11" ht="17.25" customHeight="1" x14ac:dyDescent="0.45">
      <c r="A308" s="744"/>
      <c r="B308" s="719" t="s">
        <v>1179</v>
      </c>
      <c r="C308" s="630"/>
      <c r="D308" s="42"/>
      <c r="E308" s="42"/>
      <c r="F308" s="41"/>
      <c r="G308" s="42">
        <v>600</v>
      </c>
      <c r="H308" s="42" t="s">
        <v>1177</v>
      </c>
      <c r="I308" s="42"/>
      <c r="J308" s="664">
        <v>240</v>
      </c>
      <c r="K308" s="683">
        <f>J308*G308</f>
        <v>144000</v>
      </c>
    </row>
    <row r="309" spans="1:11" ht="17.25" customHeight="1" x14ac:dyDescent="0.45">
      <c r="A309" s="744"/>
      <c r="B309" s="719" t="s">
        <v>1180</v>
      </c>
      <c r="C309" s="630"/>
      <c r="D309" s="42"/>
      <c r="E309" s="42"/>
      <c r="F309" s="41"/>
      <c r="G309" s="42">
        <v>200</v>
      </c>
      <c r="H309" s="42" t="s">
        <v>1177</v>
      </c>
      <c r="I309" s="42"/>
      <c r="J309" s="664">
        <v>240</v>
      </c>
      <c r="K309" s="683">
        <f>J309*G309</f>
        <v>48000</v>
      </c>
    </row>
    <row r="310" spans="1:11" ht="17.25" customHeight="1" x14ac:dyDescent="0.45">
      <c r="A310" s="744"/>
      <c r="B310" s="719" t="s">
        <v>1181</v>
      </c>
      <c r="C310" s="630"/>
      <c r="D310" s="42"/>
      <c r="E310" s="42"/>
      <c r="F310" s="41"/>
      <c r="G310" s="42">
        <v>2000</v>
      </c>
      <c r="H310" s="42" t="s">
        <v>8</v>
      </c>
      <c r="I310" s="42"/>
      <c r="J310" s="664">
        <v>10</v>
      </c>
      <c r="K310" s="683">
        <f>J310*G310</f>
        <v>20000</v>
      </c>
    </row>
    <row r="311" spans="1:11" ht="17.25" customHeight="1" x14ac:dyDescent="0.45">
      <c r="A311" s="744"/>
      <c r="B311" s="719" t="s">
        <v>1182</v>
      </c>
      <c r="C311" s="630"/>
      <c r="D311" s="42"/>
      <c r="E311" s="42"/>
      <c r="F311" s="41"/>
      <c r="G311" s="42">
        <v>2750</v>
      </c>
      <c r="H311" s="42" t="s">
        <v>8</v>
      </c>
      <c r="I311" s="42"/>
      <c r="J311" s="664">
        <v>4</v>
      </c>
      <c r="K311" s="683">
        <f>J311*G311</f>
        <v>11000</v>
      </c>
    </row>
    <row r="312" spans="1:11" ht="17.25" customHeight="1" x14ac:dyDescent="0.45">
      <c r="A312" s="744"/>
      <c r="B312" s="729" t="s">
        <v>1183</v>
      </c>
      <c r="C312" s="630"/>
      <c r="D312" s="42"/>
      <c r="E312" s="42"/>
      <c r="F312" s="41"/>
      <c r="G312" s="42"/>
      <c r="H312" s="42"/>
      <c r="I312" s="42"/>
      <c r="J312" s="664"/>
      <c r="K312" s="683">
        <f>SUM(K313:K315)</f>
        <v>4100000</v>
      </c>
    </row>
    <row r="313" spans="1:11" ht="17.25" customHeight="1" x14ac:dyDescent="0.45">
      <c r="A313" s="744"/>
      <c r="B313" s="719" t="s">
        <v>1184</v>
      </c>
      <c r="C313" s="630"/>
      <c r="D313" s="42"/>
      <c r="E313" s="42"/>
      <c r="F313" s="41"/>
      <c r="G313" s="42">
        <v>2500</v>
      </c>
      <c r="H313" s="42" t="s">
        <v>1177</v>
      </c>
      <c r="I313" s="42"/>
      <c r="J313" s="664">
        <v>40</v>
      </c>
      <c r="K313" s="683">
        <f>J313*G313</f>
        <v>100000</v>
      </c>
    </row>
    <row r="314" spans="1:11" ht="17.25" customHeight="1" x14ac:dyDescent="0.45">
      <c r="A314" s="744"/>
      <c r="B314" s="719" t="s">
        <v>1185</v>
      </c>
      <c r="C314" s="630"/>
      <c r="D314" s="42"/>
      <c r="E314" s="42"/>
      <c r="F314" s="41"/>
      <c r="G314" s="42">
        <v>30000</v>
      </c>
      <c r="H314" s="42" t="s">
        <v>1177</v>
      </c>
      <c r="I314" s="42"/>
      <c r="J314" s="664">
        <v>40</v>
      </c>
      <c r="K314" s="683">
        <f>J314*G314</f>
        <v>1200000</v>
      </c>
    </row>
    <row r="315" spans="1:11" ht="17.25" customHeight="1" x14ac:dyDescent="0.45">
      <c r="A315" s="744"/>
      <c r="B315" s="719" t="s">
        <v>1186</v>
      </c>
      <c r="C315" s="630"/>
      <c r="D315" s="42"/>
      <c r="E315" s="42"/>
      <c r="F315" s="41"/>
      <c r="G315" s="42">
        <v>70000</v>
      </c>
      <c r="H315" s="42" t="s">
        <v>1177</v>
      </c>
      <c r="I315" s="42"/>
      <c r="J315" s="664">
        <v>40</v>
      </c>
      <c r="K315" s="683">
        <f>J315*G315</f>
        <v>2800000</v>
      </c>
    </row>
    <row r="316" spans="1:11" ht="17.25" customHeight="1" x14ac:dyDescent="0.45">
      <c r="A316" s="744"/>
      <c r="B316" s="719" t="s">
        <v>1187</v>
      </c>
      <c r="C316" s="630"/>
      <c r="D316" s="42"/>
      <c r="E316" s="42"/>
      <c r="F316" s="41"/>
      <c r="G316" s="42"/>
      <c r="H316" s="42"/>
      <c r="I316" s="42"/>
      <c r="J316" s="664"/>
      <c r="K316" s="683">
        <f>SUM(K317:K321)</f>
        <v>38800</v>
      </c>
    </row>
    <row r="317" spans="1:11" ht="17.25" customHeight="1" x14ac:dyDescent="0.45">
      <c r="A317" s="744"/>
      <c r="B317" s="719" t="s">
        <v>1012</v>
      </c>
      <c r="C317" s="630"/>
      <c r="D317" s="42"/>
      <c r="E317" s="42"/>
      <c r="F317" s="41"/>
      <c r="G317" s="42">
        <v>500</v>
      </c>
      <c r="H317" s="42" t="s">
        <v>1177</v>
      </c>
      <c r="I317" s="42"/>
      <c r="J317" s="664">
        <v>8</v>
      </c>
      <c r="K317" s="683">
        <f>J317*G317</f>
        <v>4000</v>
      </c>
    </row>
    <row r="318" spans="1:11" ht="17.25" customHeight="1" x14ac:dyDescent="0.45">
      <c r="A318" s="744"/>
      <c r="B318" s="719" t="s">
        <v>1013</v>
      </c>
      <c r="C318" s="630"/>
      <c r="D318" s="42"/>
      <c r="E318" s="42"/>
      <c r="F318" s="41"/>
      <c r="G318" s="42">
        <v>600</v>
      </c>
      <c r="H318" s="42" t="s">
        <v>1177</v>
      </c>
      <c r="I318" s="42"/>
      <c r="J318" s="664">
        <v>8</v>
      </c>
      <c r="K318" s="683">
        <f>J318*G318</f>
        <v>4800</v>
      </c>
    </row>
    <row r="319" spans="1:11" ht="17.25" customHeight="1" x14ac:dyDescent="0.45">
      <c r="A319" s="744"/>
      <c r="B319" s="719" t="s">
        <v>1014</v>
      </c>
      <c r="C319" s="630"/>
      <c r="D319" s="42"/>
      <c r="E319" s="42"/>
      <c r="F319" s="41"/>
      <c r="G319" s="42">
        <v>1000</v>
      </c>
      <c r="H319" s="42" t="s">
        <v>1177</v>
      </c>
      <c r="I319" s="42"/>
      <c r="J319" s="664">
        <v>8</v>
      </c>
      <c r="K319" s="683">
        <f>J319*G319</f>
        <v>8000</v>
      </c>
    </row>
    <row r="320" spans="1:11" ht="17.25" customHeight="1" x14ac:dyDescent="0.45">
      <c r="A320" s="744"/>
      <c r="B320" s="719" t="s">
        <v>248</v>
      </c>
      <c r="C320" s="630"/>
      <c r="D320" s="42"/>
      <c r="E320" s="42"/>
      <c r="F320" s="41"/>
      <c r="G320" s="42">
        <v>1500</v>
      </c>
      <c r="H320" s="42" t="s">
        <v>1177</v>
      </c>
      <c r="I320" s="42"/>
      <c r="J320" s="664">
        <v>8</v>
      </c>
      <c r="K320" s="683">
        <f>J320*G320</f>
        <v>12000</v>
      </c>
    </row>
    <row r="321" spans="1:13" ht="17.25" customHeight="1" x14ac:dyDescent="0.45">
      <c r="A321" s="744"/>
      <c r="B321" s="719" t="s">
        <v>1015</v>
      </c>
      <c r="C321" s="630"/>
      <c r="D321" s="42"/>
      <c r="E321" s="42"/>
      <c r="F321" s="41"/>
      <c r="G321" s="42">
        <v>500</v>
      </c>
      <c r="H321" s="42" t="s">
        <v>1177</v>
      </c>
      <c r="I321" s="42"/>
      <c r="J321" s="664">
        <v>20</v>
      </c>
      <c r="K321" s="683">
        <f>J321*G321</f>
        <v>10000</v>
      </c>
    </row>
    <row r="322" spans="1:13" ht="33" customHeight="1" x14ac:dyDescent="0.45">
      <c r="A322" s="744"/>
      <c r="B322" s="730" t="s">
        <v>1188</v>
      </c>
      <c r="C322" s="711"/>
      <c r="D322" s="635"/>
      <c r="E322" s="635"/>
      <c r="F322" s="634"/>
      <c r="G322" s="635"/>
      <c r="H322" s="635"/>
      <c r="I322" s="635"/>
      <c r="J322" s="665"/>
      <c r="K322" s="697">
        <f>SUM(K324+K361+K368+K375)</f>
        <v>6022500</v>
      </c>
    </row>
    <row r="323" spans="1:13" s="23" customFormat="1" ht="23.25" customHeight="1" x14ac:dyDescent="0.5">
      <c r="A323" s="744"/>
      <c r="B323" s="731" t="s">
        <v>1189</v>
      </c>
      <c r="C323" s="712"/>
      <c r="D323" s="225"/>
      <c r="E323" s="225"/>
      <c r="F323" s="225"/>
      <c r="G323" s="219"/>
      <c r="H323" s="219"/>
      <c r="I323" s="219"/>
      <c r="J323" s="666"/>
      <c r="K323" s="698"/>
      <c r="L323" s="637"/>
      <c r="M323" s="637"/>
    </row>
    <row r="324" spans="1:13" s="23" customFormat="1" ht="21.75" customHeight="1" x14ac:dyDescent="0.5">
      <c r="A324" s="744"/>
      <c r="B324" s="732" t="s">
        <v>1190</v>
      </c>
      <c r="C324" s="639"/>
      <c r="D324" s="638"/>
      <c r="E324" s="638"/>
      <c r="F324" s="638"/>
      <c r="G324" s="7"/>
      <c r="H324" s="7"/>
      <c r="I324" s="7"/>
      <c r="J324" s="667"/>
      <c r="K324" s="699">
        <f>SUM(K325+K327+K341+K349+K354)</f>
        <v>3472300</v>
      </c>
      <c r="L324" s="637"/>
      <c r="M324" s="637"/>
    </row>
    <row r="325" spans="1:13" s="23" customFormat="1" ht="21.75" customHeight="1" x14ac:dyDescent="0.5">
      <c r="A325" s="744"/>
      <c r="B325" s="733" t="s">
        <v>1191</v>
      </c>
      <c r="C325" s="639"/>
      <c r="D325" s="638"/>
      <c r="E325" s="638"/>
      <c r="F325" s="638"/>
      <c r="G325" s="7"/>
      <c r="H325" s="7"/>
      <c r="I325" s="7"/>
      <c r="J325" s="667"/>
      <c r="K325" s="699">
        <f>K326</f>
        <v>100000</v>
      </c>
      <c r="L325" s="637"/>
      <c r="M325" s="637"/>
    </row>
    <row r="326" spans="1:13" s="23" customFormat="1" ht="21.75" customHeight="1" x14ac:dyDescent="0.5">
      <c r="A326" s="744"/>
      <c r="B326" s="734" t="s">
        <v>1192</v>
      </c>
      <c r="C326" s="639"/>
      <c r="D326" s="638"/>
      <c r="E326" s="638"/>
      <c r="F326" s="638"/>
      <c r="G326" s="7"/>
      <c r="H326" s="7"/>
      <c r="I326" s="7"/>
      <c r="J326" s="668" t="s">
        <v>242</v>
      </c>
      <c r="K326" s="700">
        <f>100000</f>
        <v>100000</v>
      </c>
      <c r="L326" s="637"/>
      <c r="M326" s="637"/>
    </row>
    <row r="327" spans="1:13" s="23" customFormat="1" ht="21.75" customHeight="1" x14ac:dyDescent="0.5">
      <c r="A327" s="744"/>
      <c r="B327" s="733" t="s">
        <v>1193</v>
      </c>
      <c r="C327" s="639"/>
      <c r="D327" s="638"/>
      <c r="E327" s="638"/>
      <c r="F327" s="638"/>
      <c r="G327" s="7"/>
      <c r="H327" s="7"/>
      <c r="I327" s="7"/>
      <c r="J327" s="667"/>
      <c r="K327" s="699">
        <f>SUM(K328+K336)</f>
        <v>2854900</v>
      </c>
      <c r="L327" s="637"/>
      <c r="M327" s="637"/>
    </row>
    <row r="328" spans="1:13" s="23" customFormat="1" ht="21.75" customHeight="1" x14ac:dyDescent="0.5">
      <c r="A328" s="744"/>
      <c r="B328" s="735" t="s">
        <v>1194</v>
      </c>
      <c r="C328" s="639"/>
      <c r="D328" s="638"/>
      <c r="E328" s="638"/>
      <c r="F328" s="638"/>
      <c r="G328" s="7"/>
      <c r="H328" s="7"/>
      <c r="I328" s="7"/>
      <c r="J328" s="667"/>
      <c r="K328" s="699">
        <f>SUM(K329:K335)</f>
        <v>409900</v>
      </c>
      <c r="L328" s="637"/>
      <c r="M328" s="637"/>
    </row>
    <row r="329" spans="1:13" s="23" customFormat="1" ht="22.5" customHeight="1" x14ac:dyDescent="0.5">
      <c r="A329" s="744"/>
      <c r="B329" s="734" t="s">
        <v>1195</v>
      </c>
      <c r="C329" s="639"/>
      <c r="D329" s="638"/>
      <c r="E329" s="638"/>
      <c r="F329" s="638"/>
      <c r="G329" s="7"/>
      <c r="H329" s="195">
        <v>250</v>
      </c>
      <c r="I329" s="195">
        <v>2</v>
      </c>
      <c r="J329" s="669">
        <v>70</v>
      </c>
      <c r="K329" s="700">
        <f t="shared" ref="K329:K334" si="13">H329*I329*J329</f>
        <v>35000</v>
      </c>
      <c r="L329" s="637"/>
      <c r="M329" s="637"/>
    </row>
    <row r="330" spans="1:13" s="23" customFormat="1" ht="22.5" customHeight="1" x14ac:dyDescent="0.5">
      <c r="A330" s="744"/>
      <c r="B330" s="734" t="s">
        <v>1196</v>
      </c>
      <c r="C330" s="639"/>
      <c r="D330" s="638"/>
      <c r="E330" s="638"/>
      <c r="F330" s="638"/>
      <c r="G330" s="7"/>
      <c r="H330" s="195">
        <v>250</v>
      </c>
      <c r="I330" s="195">
        <v>2</v>
      </c>
      <c r="J330" s="669">
        <v>500</v>
      </c>
      <c r="K330" s="700">
        <f t="shared" si="13"/>
        <v>250000</v>
      </c>
      <c r="L330" s="637"/>
      <c r="M330" s="637"/>
    </row>
    <row r="331" spans="1:13" s="23" customFormat="1" ht="22.5" customHeight="1" x14ac:dyDescent="0.5">
      <c r="A331" s="744"/>
      <c r="B331" s="734" t="s">
        <v>1197</v>
      </c>
      <c r="C331" s="639"/>
      <c r="D331" s="638"/>
      <c r="E331" s="638"/>
      <c r="F331" s="638"/>
      <c r="G331" s="7"/>
      <c r="H331" s="195">
        <v>250</v>
      </c>
      <c r="I331" s="195">
        <v>2</v>
      </c>
      <c r="J331" s="669">
        <v>50</v>
      </c>
      <c r="K331" s="700">
        <f t="shared" si="13"/>
        <v>25000</v>
      </c>
      <c r="L331" s="637"/>
      <c r="M331" s="637"/>
    </row>
    <row r="332" spans="1:13" s="23" customFormat="1" ht="22.5" customHeight="1" x14ac:dyDescent="0.5">
      <c r="A332" s="744"/>
      <c r="B332" s="736" t="s">
        <v>1198</v>
      </c>
      <c r="C332" s="639"/>
      <c r="D332" s="638"/>
      <c r="E332" s="638"/>
      <c r="F332" s="638"/>
      <c r="G332" s="7"/>
      <c r="H332" s="641">
        <v>1</v>
      </c>
      <c r="I332" s="195">
        <v>7</v>
      </c>
      <c r="J332" s="669">
        <v>1200</v>
      </c>
      <c r="K332" s="700">
        <f t="shared" si="13"/>
        <v>8400</v>
      </c>
      <c r="L332" s="637"/>
      <c r="M332" s="637"/>
    </row>
    <row r="333" spans="1:13" s="23" customFormat="1" ht="22.5" customHeight="1" x14ac:dyDescent="0.5">
      <c r="A333" s="744"/>
      <c r="B333" s="736" t="s">
        <v>1199</v>
      </c>
      <c r="C333" s="639"/>
      <c r="D333" s="638"/>
      <c r="E333" s="638"/>
      <c r="F333" s="638"/>
      <c r="G333" s="7"/>
      <c r="H333" s="195">
        <v>1</v>
      </c>
      <c r="I333" s="195">
        <v>1</v>
      </c>
      <c r="J333" s="669">
        <f>500*170</f>
        <v>85000</v>
      </c>
      <c r="K333" s="700">
        <f t="shared" si="13"/>
        <v>85000</v>
      </c>
      <c r="L333" s="637"/>
      <c r="M333" s="637"/>
    </row>
    <row r="334" spans="1:13" s="23" customFormat="1" ht="22.5" customHeight="1" x14ac:dyDescent="0.5">
      <c r="A334" s="744"/>
      <c r="B334" s="734" t="s">
        <v>1200</v>
      </c>
      <c r="C334" s="639"/>
      <c r="D334" s="638"/>
      <c r="E334" s="638"/>
      <c r="F334" s="638"/>
      <c r="G334" s="7"/>
      <c r="H334" s="195">
        <v>5</v>
      </c>
      <c r="I334" s="195">
        <v>1</v>
      </c>
      <c r="J334" s="670">
        <v>300</v>
      </c>
      <c r="K334" s="700">
        <f t="shared" si="13"/>
        <v>1500</v>
      </c>
      <c r="L334" s="637"/>
      <c r="M334" s="637"/>
    </row>
    <row r="335" spans="1:13" s="23" customFormat="1" ht="22.5" customHeight="1" x14ac:dyDescent="0.5">
      <c r="A335" s="744"/>
      <c r="B335" s="736" t="s">
        <v>1201</v>
      </c>
      <c r="C335" s="639"/>
      <c r="D335" s="638"/>
      <c r="E335" s="638"/>
      <c r="F335" s="638"/>
      <c r="G335" s="7"/>
      <c r="H335" s="195"/>
      <c r="I335" s="195"/>
      <c r="J335" s="671" t="s">
        <v>242</v>
      </c>
      <c r="K335" s="700">
        <f>5000</f>
        <v>5000</v>
      </c>
      <c r="L335" s="637"/>
      <c r="M335" s="637"/>
    </row>
    <row r="336" spans="1:13" s="23" customFormat="1" ht="22.5" customHeight="1" x14ac:dyDescent="0.5">
      <c r="A336" s="744"/>
      <c r="B336" s="733" t="s">
        <v>1202</v>
      </c>
      <c r="C336" s="639"/>
      <c r="D336" s="638"/>
      <c r="E336" s="638"/>
      <c r="F336" s="638"/>
      <c r="G336" s="7"/>
      <c r="H336" s="195"/>
      <c r="I336" s="195"/>
      <c r="J336" s="672"/>
      <c r="K336" s="700">
        <f>SUM(K337:K340)</f>
        <v>2445000</v>
      </c>
      <c r="L336" s="637"/>
      <c r="M336" s="637"/>
    </row>
    <row r="337" spans="1:13" s="23" customFormat="1" ht="22.5" customHeight="1" x14ac:dyDescent="0.5">
      <c r="A337" s="744"/>
      <c r="B337" s="736" t="s">
        <v>1203</v>
      </c>
      <c r="C337" s="639"/>
      <c r="D337" s="638"/>
      <c r="E337" s="638"/>
      <c r="F337" s="638"/>
      <c r="G337" s="7"/>
      <c r="H337" s="195">
        <v>200</v>
      </c>
      <c r="I337" s="195">
        <v>2</v>
      </c>
      <c r="J337" s="669">
        <v>2500</v>
      </c>
      <c r="K337" s="700">
        <f>H337*I337*J337</f>
        <v>1000000</v>
      </c>
      <c r="L337" s="637"/>
      <c r="M337" s="637"/>
    </row>
    <row r="338" spans="1:13" s="23" customFormat="1" ht="21.75" customHeight="1" x14ac:dyDescent="0.5">
      <c r="A338" s="744"/>
      <c r="B338" s="736" t="s">
        <v>1204</v>
      </c>
      <c r="C338" s="639"/>
      <c r="D338" s="638"/>
      <c r="E338" s="638"/>
      <c r="F338" s="638"/>
      <c r="G338" s="7"/>
      <c r="H338" s="195">
        <v>4</v>
      </c>
      <c r="I338" s="195">
        <v>200</v>
      </c>
      <c r="J338" s="669">
        <v>1200</v>
      </c>
      <c r="K338" s="700">
        <f>H338*I338*J338</f>
        <v>960000</v>
      </c>
      <c r="L338" s="637"/>
      <c r="M338" s="637"/>
    </row>
    <row r="339" spans="1:13" s="23" customFormat="1" ht="21.75" customHeight="1" x14ac:dyDescent="0.5">
      <c r="A339" s="744"/>
      <c r="B339" s="736" t="s">
        <v>1205</v>
      </c>
      <c r="C339" s="639"/>
      <c r="D339" s="638"/>
      <c r="E339" s="638"/>
      <c r="F339" s="638"/>
      <c r="G339" s="7"/>
      <c r="H339" s="195">
        <v>4</v>
      </c>
      <c r="I339" s="195">
        <v>400</v>
      </c>
      <c r="J339" s="669">
        <v>300</v>
      </c>
      <c r="K339" s="700">
        <f>H339*I339*J339</f>
        <v>480000</v>
      </c>
      <c r="L339" s="637"/>
      <c r="M339" s="637"/>
    </row>
    <row r="340" spans="1:13" s="23" customFormat="1" ht="21.75" customHeight="1" x14ac:dyDescent="0.5">
      <c r="A340" s="744"/>
      <c r="B340" s="736" t="s">
        <v>1206</v>
      </c>
      <c r="C340" s="639"/>
      <c r="D340" s="638"/>
      <c r="E340" s="638"/>
      <c r="F340" s="638"/>
      <c r="G340" s="7"/>
      <c r="H340" s="195"/>
      <c r="I340" s="195"/>
      <c r="J340" s="671" t="s">
        <v>242</v>
      </c>
      <c r="K340" s="700">
        <f>5000</f>
        <v>5000</v>
      </c>
      <c r="L340" s="637"/>
      <c r="M340" s="637"/>
    </row>
    <row r="341" spans="1:13" s="23" customFormat="1" ht="21.75" customHeight="1" x14ac:dyDescent="0.5">
      <c r="A341" s="744"/>
      <c r="B341" s="737" t="s">
        <v>1207</v>
      </c>
      <c r="C341" s="639"/>
      <c r="D341" s="638"/>
      <c r="E341" s="638"/>
      <c r="F341" s="638"/>
      <c r="G341" s="7"/>
      <c r="H341" s="7"/>
      <c r="I341" s="7"/>
      <c r="J341" s="667"/>
      <c r="K341" s="699">
        <f>SUM(K342:K348)</f>
        <v>317900</v>
      </c>
      <c r="L341" s="637"/>
      <c r="M341" s="637"/>
    </row>
    <row r="342" spans="1:13" s="23" customFormat="1" ht="21" customHeight="1" x14ac:dyDescent="0.5">
      <c r="A342" s="744"/>
      <c r="B342" s="734" t="s">
        <v>1208</v>
      </c>
      <c r="C342" s="639"/>
      <c r="D342" s="638"/>
      <c r="E342" s="638"/>
      <c r="F342" s="638"/>
      <c r="G342" s="7"/>
      <c r="H342" s="195">
        <v>300</v>
      </c>
      <c r="I342" s="195">
        <v>1</v>
      </c>
      <c r="J342" s="669">
        <v>500</v>
      </c>
      <c r="K342" s="700">
        <f t="shared" ref="K342:K347" si="14">H342*I342*J342</f>
        <v>150000</v>
      </c>
      <c r="L342" s="637"/>
      <c r="M342" s="637"/>
    </row>
    <row r="343" spans="1:13" s="23" customFormat="1" ht="18.75" customHeight="1" x14ac:dyDescent="0.5">
      <c r="A343" s="744"/>
      <c r="B343" s="734" t="s">
        <v>1209</v>
      </c>
      <c r="C343" s="639"/>
      <c r="D343" s="638"/>
      <c r="E343" s="638"/>
      <c r="F343" s="638"/>
      <c r="G343" s="7"/>
      <c r="H343" s="195">
        <v>1</v>
      </c>
      <c r="I343" s="195">
        <v>1</v>
      </c>
      <c r="J343" s="669">
        <f>600*170</f>
        <v>102000</v>
      </c>
      <c r="K343" s="700">
        <f t="shared" si="14"/>
        <v>102000</v>
      </c>
      <c r="L343" s="637"/>
      <c r="M343" s="637"/>
    </row>
    <row r="344" spans="1:13" s="23" customFormat="1" ht="18.75" customHeight="1" x14ac:dyDescent="0.5">
      <c r="A344" s="744"/>
      <c r="B344" s="736" t="s">
        <v>1210</v>
      </c>
      <c r="C344" s="639"/>
      <c r="D344" s="638"/>
      <c r="E344" s="638"/>
      <c r="F344" s="638"/>
      <c r="G344" s="7"/>
      <c r="H344" s="195">
        <v>300</v>
      </c>
      <c r="I344" s="195">
        <v>2</v>
      </c>
      <c r="J344" s="670">
        <v>50</v>
      </c>
      <c r="K344" s="700">
        <f t="shared" si="14"/>
        <v>30000</v>
      </c>
      <c r="L344" s="637"/>
      <c r="M344" s="637"/>
    </row>
    <row r="345" spans="1:13" s="23" customFormat="1" ht="22.5" customHeight="1" x14ac:dyDescent="0.5">
      <c r="A345" s="742"/>
      <c r="B345" s="736" t="s">
        <v>1211</v>
      </c>
      <c r="C345" s="639"/>
      <c r="D345" s="638"/>
      <c r="E345" s="638"/>
      <c r="F345" s="638"/>
      <c r="G345" s="7"/>
      <c r="H345" s="195">
        <v>1</v>
      </c>
      <c r="I345" s="195">
        <v>7</v>
      </c>
      <c r="J345" s="670">
        <v>1200</v>
      </c>
      <c r="K345" s="700">
        <f t="shared" si="14"/>
        <v>8400</v>
      </c>
      <c r="L345" s="637"/>
      <c r="M345" s="637"/>
    </row>
    <row r="346" spans="1:13" s="23" customFormat="1" ht="18.75" customHeight="1" x14ac:dyDescent="0.5">
      <c r="A346" s="742"/>
      <c r="B346" s="736" t="s">
        <v>1212</v>
      </c>
      <c r="C346" s="639"/>
      <c r="D346" s="638"/>
      <c r="E346" s="638"/>
      <c r="F346" s="638"/>
      <c r="G346" s="7"/>
      <c r="H346" s="195">
        <v>300</v>
      </c>
      <c r="I346" s="195">
        <v>1</v>
      </c>
      <c r="J346" s="670">
        <v>70</v>
      </c>
      <c r="K346" s="700">
        <f t="shared" si="14"/>
        <v>21000</v>
      </c>
      <c r="L346" s="637"/>
      <c r="M346" s="637"/>
    </row>
    <row r="347" spans="1:13" s="23" customFormat="1" ht="56.25" x14ac:dyDescent="0.5">
      <c r="A347" s="742"/>
      <c r="B347" s="734" t="s">
        <v>1213</v>
      </c>
      <c r="C347" s="639"/>
      <c r="D347" s="638"/>
      <c r="E347" s="638"/>
      <c r="F347" s="638"/>
      <c r="G347" s="7"/>
      <c r="H347" s="195">
        <v>5</v>
      </c>
      <c r="I347" s="195">
        <v>1</v>
      </c>
      <c r="J347" s="670">
        <v>300</v>
      </c>
      <c r="K347" s="700">
        <f t="shared" si="14"/>
        <v>1500</v>
      </c>
      <c r="L347" s="637"/>
      <c r="M347" s="637"/>
    </row>
    <row r="348" spans="1:13" s="23" customFormat="1" ht="21.75" x14ac:dyDescent="0.5">
      <c r="A348" s="742"/>
      <c r="B348" s="736" t="s">
        <v>1206</v>
      </c>
      <c r="C348" s="639"/>
      <c r="D348" s="638"/>
      <c r="E348" s="638"/>
      <c r="F348" s="638"/>
      <c r="G348" s="7"/>
      <c r="H348" s="195"/>
      <c r="I348" s="195"/>
      <c r="J348" s="671" t="s">
        <v>242</v>
      </c>
      <c r="K348" s="700">
        <f>5000</f>
        <v>5000</v>
      </c>
      <c r="L348" s="637"/>
      <c r="M348" s="637"/>
    </row>
    <row r="349" spans="1:13" s="23" customFormat="1" ht="21.75" x14ac:dyDescent="0.5">
      <c r="A349" s="742"/>
      <c r="B349" s="733" t="s">
        <v>1214</v>
      </c>
      <c r="C349" s="639"/>
      <c r="D349" s="638"/>
      <c r="E349" s="638"/>
      <c r="F349" s="638"/>
      <c r="G349" s="7"/>
      <c r="H349" s="7"/>
      <c r="I349" s="7"/>
      <c r="J349" s="667"/>
      <c r="K349" s="699">
        <f>SUM(K350:K353)</f>
        <v>189500</v>
      </c>
      <c r="L349" s="637"/>
      <c r="M349" s="637"/>
    </row>
    <row r="350" spans="1:13" s="23" customFormat="1" ht="21.75" x14ac:dyDescent="0.5">
      <c r="A350" s="742"/>
      <c r="B350" s="734" t="s">
        <v>1215</v>
      </c>
      <c r="C350" s="639"/>
      <c r="D350" s="638"/>
      <c r="E350" s="638"/>
      <c r="F350" s="638"/>
      <c r="G350" s="7"/>
      <c r="H350" s="642">
        <v>500</v>
      </c>
      <c r="I350" s="642">
        <v>1</v>
      </c>
      <c r="J350" s="669">
        <v>250</v>
      </c>
      <c r="K350" s="700">
        <f>H350*I350*J350</f>
        <v>125000</v>
      </c>
      <c r="L350" s="637"/>
      <c r="M350" s="637"/>
    </row>
    <row r="351" spans="1:13" s="23" customFormat="1" ht="21.75" x14ac:dyDescent="0.5">
      <c r="A351" s="742"/>
      <c r="B351" s="736" t="s">
        <v>1216</v>
      </c>
      <c r="C351" s="639"/>
      <c r="D351" s="638"/>
      <c r="E351" s="638"/>
      <c r="F351" s="638"/>
      <c r="G351" s="7"/>
      <c r="H351" s="642">
        <v>100</v>
      </c>
      <c r="I351" s="642">
        <v>1</v>
      </c>
      <c r="J351" s="669">
        <v>500</v>
      </c>
      <c r="K351" s="700">
        <f>H351*I351*J351</f>
        <v>50000</v>
      </c>
      <c r="L351" s="637"/>
      <c r="M351" s="637"/>
    </row>
    <row r="352" spans="1:13" s="23" customFormat="1" ht="21.75" x14ac:dyDescent="0.5">
      <c r="A352" s="742"/>
      <c r="B352" s="736" t="s">
        <v>1217</v>
      </c>
      <c r="C352" s="639"/>
      <c r="D352" s="638"/>
      <c r="E352" s="638"/>
      <c r="F352" s="638"/>
      <c r="G352" s="7"/>
      <c r="H352" s="642">
        <v>200</v>
      </c>
      <c r="I352" s="642">
        <v>1</v>
      </c>
      <c r="J352" s="669">
        <v>20</v>
      </c>
      <c r="K352" s="700">
        <f>H352*I352*J352</f>
        <v>4000</v>
      </c>
      <c r="L352" s="637"/>
      <c r="M352" s="637"/>
    </row>
    <row r="353" spans="1:13" s="23" customFormat="1" ht="21.75" x14ac:dyDescent="0.5">
      <c r="A353" s="742"/>
      <c r="B353" s="736" t="s">
        <v>1218</v>
      </c>
      <c r="C353" s="639"/>
      <c r="D353" s="638"/>
      <c r="E353" s="638"/>
      <c r="F353" s="638"/>
      <c r="G353" s="7"/>
      <c r="H353" s="642">
        <v>5</v>
      </c>
      <c r="I353" s="642">
        <v>1</v>
      </c>
      <c r="J353" s="669">
        <v>2100</v>
      </c>
      <c r="K353" s="700">
        <f>H353*I353*J353</f>
        <v>10500</v>
      </c>
      <c r="L353" s="637"/>
      <c r="M353" s="637"/>
    </row>
    <row r="354" spans="1:13" s="23" customFormat="1" ht="21.75" x14ac:dyDescent="0.5">
      <c r="A354" s="742"/>
      <c r="B354" s="737" t="s">
        <v>679</v>
      </c>
      <c r="C354" s="639"/>
      <c r="D354" s="638"/>
      <c r="E354" s="638"/>
      <c r="F354" s="638"/>
      <c r="G354" s="7"/>
      <c r="H354" s="642"/>
      <c r="I354" s="642"/>
      <c r="J354" s="672"/>
      <c r="K354" s="700">
        <f>SUM(K355:K359)</f>
        <v>10000</v>
      </c>
      <c r="L354" s="637"/>
      <c r="M354" s="637"/>
    </row>
    <row r="355" spans="1:13" s="23" customFormat="1" ht="23.25" customHeight="1" x14ac:dyDescent="0.5">
      <c r="A355" s="742"/>
      <c r="B355" s="734" t="s">
        <v>1219</v>
      </c>
      <c r="C355" s="639"/>
      <c r="D355" s="638"/>
      <c r="E355" s="638"/>
      <c r="F355" s="638"/>
      <c r="G355" s="7"/>
      <c r="H355" s="643"/>
      <c r="I355" s="643"/>
      <c r="J355" s="670">
        <v>500</v>
      </c>
      <c r="K355" s="701">
        <f>500</f>
        <v>500</v>
      </c>
      <c r="L355" s="637"/>
      <c r="M355" s="637"/>
    </row>
    <row r="356" spans="1:13" s="23" customFormat="1" ht="23.25" customHeight="1" x14ac:dyDescent="0.5">
      <c r="A356" s="742"/>
      <c r="B356" s="734" t="s">
        <v>1220</v>
      </c>
      <c r="C356" s="639"/>
      <c r="D356" s="638"/>
      <c r="E356" s="638"/>
      <c r="F356" s="638"/>
      <c r="G356" s="7"/>
      <c r="H356" s="643"/>
      <c r="I356" s="643"/>
      <c r="J356" s="670">
        <v>2000</v>
      </c>
      <c r="K356" s="701">
        <f>2000</f>
        <v>2000</v>
      </c>
      <c r="L356" s="637"/>
      <c r="M356" s="637"/>
    </row>
    <row r="357" spans="1:13" s="23" customFormat="1" ht="23.25" customHeight="1" x14ac:dyDescent="0.5">
      <c r="A357" s="742"/>
      <c r="B357" s="734" t="s">
        <v>1221</v>
      </c>
      <c r="C357" s="639"/>
      <c r="D357" s="638"/>
      <c r="E357" s="638"/>
      <c r="F357" s="638"/>
      <c r="G357" s="7"/>
      <c r="H357" s="643"/>
      <c r="I357" s="643"/>
      <c r="J357" s="670">
        <v>2500</v>
      </c>
      <c r="K357" s="701">
        <f>2500</f>
        <v>2500</v>
      </c>
      <c r="L357" s="637"/>
      <c r="M357" s="637"/>
    </row>
    <row r="358" spans="1:13" s="23" customFormat="1" ht="23.25" customHeight="1" x14ac:dyDescent="0.5">
      <c r="A358" s="742"/>
      <c r="B358" s="734" t="s">
        <v>1222</v>
      </c>
      <c r="C358" s="639"/>
      <c r="D358" s="638"/>
      <c r="E358" s="638"/>
      <c r="F358" s="638"/>
      <c r="G358" s="7"/>
      <c r="H358" s="643"/>
      <c r="I358" s="643"/>
      <c r="J358" s="670">
        <v>3000</v>
      </c>
      <c r="K358" s="701">
        <f>3000</f>
        <v>3000</v>
      </c>
      <c r="L358" s="637"/>
      <c r="M358" s="637"/>
    </row>
    <row r="359" spans="1:13" s="23" customFormat="1" ht="23.25" customHeight="1" x14ac:dyDescent="0.5">
      <c r="A359" s="742"/>
      <c r="B359" s="734" t="s">
        <v>1223</v>
      </c>
      <c r="C359" s="639"/>
      <c r="D359" s="638"/>
      <c r="E359" s="638"/>
      <c r="F359" s="638"/>
      <c r="G359" s="7"/>
      <c r="H359" s="643"/>
      <c r="I359" s="643"/>
      <c r="J359" s="670">
        <v>2000</v>
      </c>
      <c r="K359" s="701">
        <f>2000</f>
        <v>2000</v>
      </c>
      <c r="L359" s="637"/>
      <c r="M359" s="637"/>
    </row>
    <row r="360" spans="1:13" s="23" customFormat="1" ht="21.75" x14ac:dyDescent="0.5">
      <c r="A360" s="742"/>
      <c r="B360" s="738" t="s">
        <v>1224</v>
      </c>
      <c r="C360" s="713"/>
      <c r="D360" s="644"/>
      <c r="E360" s="644"/>
      <c r="F360" s="644"/>
      <c r="G360" s="644"/>
      <c r="H360" s="644"/>
      <c r="I360" s="644"/>
      <c r="J360" s="673"/>
      <c r="K360" s="702"/>
      <c r="L360" s="637"/>
      <c r="M360" s="637"/>
    </row>
    <row r="361" spans="1:13" s="23" customFormat="1" ht="21.75" x14ac:dyDescent="0.5">
      <c r="A361" s="742"/>
      <c r="B361" s="732" t="s">
        <v>1225</v>
      </c>
      <c r="C361" s="714"/>
      <c r="D361" s="7"/>
      <c r="E361" s="7"/>
      <c r="F361" s="7"/>
      <c r="G361" s="7"/>
      <c r="H361" s="7"/>
      <c r="I361" s="7"/>
      <c r="J361" s="674"/>
      <c r="K361" s="699">
        <f>SUM(K362:K366)</f>
        <v>1018400</v>
      </c>
      <c r="L361" s="637"/>
      <c r="M361" s="637"/>
    </row>
    <row r="362" spans="1:13" s="23" customFormat="1" ht="21" customHeight="1" x14ac:dyDescent="0.5">
      <c r="A362" s="742"/>
      <c r="B362" s="734" t="s">
        <v>1226</v>
      </c>
      <c r="C362" s="714"/>
      <c r="D362" s="7"/>
      <c r="E362" s="7"/>
      <c r="F362" s="7"/>
      <c r="G362" s="7"/>
      <c r="H362" s="641">
        <v>1000</v>
      </c>
      <c r="I362" s="642">
        <v>1</v>
      </c>
      <c r="J362" s="668">
        <v>500</v>
      </c>
      <c r="K362" s="700">
        <f>H362*I362*J362</f>
        <v>500000</v>
      </c>
      <c r="L362" s="637"/>
      <c r="M362" s="637"/>
    </row>
    <row r="363" spans="1:13" s="23" customFormat="1" ht="21" customHeight="1" x14ac:dyDescent="0.5">
      <c r="A363" s="742"/>
      <c r="B363" s="734" t="s">
        <v>1227</v>
      </c>
      <c r="C363" s="714"/>
      <c r="D363" s="7"/>
      <c r="E363" s="7"/>
      <c r="F363" s="7"/>
      <c r="G363" s="7"/>
      <c r="H363" s="642"/>
      <c r="I363" s="642"/>
      <c r="J363" s="668">
        <f>2000*170</f>
        <v>340000</v>
      </c>
      <c r="K363" s="700">
        <f>J363</f>
        <v>340000</v>
      </c>
      <c r="L363" s="637"/>
      <c r="M363" s="637"/>
    </row>
    <row r="364" spans="1:13" s="23" customFormat="1" ht="21" customHeight="1" x14ac:dyDescent="0.5">
      <c r="A364" s="742"/>
      <c r="B364" s="736" t="s">
        <v>1228</v>
      </c>
      <c r="C364" s="714"/>
      <c r="D364" s="7"/>
      <c r="E364" s="7"/>
      <c r="F364" s="7"/>
      <c r="G364" s="7"/>
      <c r="H364" s="641">
        <v>1000</v>
      </c>
      <c r="I364" s="642">
        <v>2</v>
      </c>
      <c r="J364" s="675">
        <v>50</v>
      </c>
      <c r="K364" s="700">
        <f>H364*I364*J364</f>
        <v>100000</v>
      </c>
      <c r="L364" s="637"/>
      <c r="M364" s="637"/>
    </row>
    <row r="365" spans="1:13" s="23" customFormat="1" ht="21" customHeight="1" x14ac:dyDescent="0.5">
      <c r="A365" s="742"/>
      <c r="B365" s="736" t="s">
        <v>1211</v>
      </c>
      <c r="C365" s="714"/>
      <c r="D365" s="7"/>
      <c r="E365" s="7"/>
      <c r="F365" s="7"/>
      <c r="G365" s="7"/>
      <c r="H365" s="642">
        <v>1</v>
      </c>
      <c r="I365" s="642">
        <v>7</v>
      </c>
      <c r="J365" s="675">
        <v>1200</v>
      </c>
      <c r="K365" s="700">
        <f>H365*I365*J365</f>
        <v>8400</v>
      </c>
      <c r="L365" s="637"/>
      <c r="M365" s="637"/>
    </row>
    <row r="366" spans="1:13" s="23" customFormat="1" ht="21" customHeight="1" x14ac:dyDescent="0.5">
      <c r="A366" s="742"/>
      <c r="B366" s="736" t="s">
        <v>1212</v>
      </c>
      <c r="C366" s="714"/>
      <c r="D366" s="7"/>
      <c r="E366" s="7"/>
      <c r="F366" s="7"/>
      <c r="G366" s="7"/>
      <c r="H366" s="641">
        <v>1000</v>
      </c>
      <c r="I366" s="642">
        <v>1</v>
      </c>
      <c r="J366" s="675">
        <v>70</v>
      </c>
      <c r="K366" s="700">
        <f>H366*I366*J366</f>
        <v>70000</v>
      </c>
      <c r="L366" s="637"/>
      <c r="M366" s="637"/>
    </row>
    <row r="367" spans="1:13" s="23" customFormat="1" ht="21.75" x14ac:dyDescent="0.5">
      <c r="A367" s="742"/>
      <c r="B367" s="739" t="s">
        <v>1073</v>
      </c>
      <c r="C367" s="713"/>
      <c r="D367" s="644"/>
      <c r="E367" s="644"/>
      <c r="F367" s="644"/>
      <c r="G367" s="644"/>
      <c r="H367" s="644"/>
      <c r="I367" s="644"/>
      <c r="J367" s="673"/>
      <c r="K367" s="702"/>
      <c r="L367" s="637"/>
      <c r="M367" s="637"/>
    </row>
    <row r="368" spans="1:13" s="23" customFormat="1" ht="21.75" x14ac:dyDescent="0.5">
      <c r="A368" s="742"/>
      <c r="B368" s="732" t="s">
        <v>1229</v>
      </c>
      <c r="C368" s="714"/>
      <c r="D368" s="7"/>
      <c r="E368" s="7"/>
      <c r="F368" s="7"/>
      <c r="G368" s="7"/>
      <c r="H368" s="7"/>
      <c r="I368" s="7"/>
      <c r="J368" s="674"/>
      <c r="K368" s="699">
        <f>SUM(K369:K373)</f>
        <v>513400</v>
      </c>
      <c r="L368" s="637"/>
      <c r="M368" s="637"/>
    </row>
    <row r="369" spans="1:13" s="23" customFormat="1" ht="21" customHeight="1" x14ac:dyDescent="0.5">
      <c r="A369" s="742"/>
      <c r="B369" s="734" t="s">
        <v>1230</v>
      </c>
      <c r="C369" s="714"/>
      <c r="D369" s="7"/>
      <c r="E369" s="7"/>
      <c r="F369" s="7"/>
      <c r="G369" s="7"/>
      <c r="H369" s="642">
        <v>500</v>
      </c>
      <c r="I369" s="642">
        <v>1</v>
      </c>
      <c r="J369" s="668">
        <v>500</v>
      </c>
      <c r="K369" s="700">
        <f>H369*I369*J369</f>
        <v>250000</v>
      </c>
      <c r="L369" s="637"/>
      <c r="M369" s="637"/>
    </row>
    <row r="370" spans="1:13" s="23" customFormat="1" ht="21" customHeight="1" x14ac:dyDescent="0.5">
      <c r="A370" s="742"/>
      <c r="B370" s="734" t="s">
        <v>1231</v>
      </c>
      <c r="C370" s="714"/>
      <c r="D370" s="7"/>
      <c r="E370" s="7"/>
      <c r="F370" s="7"/>
      <c r="G370" s="7"/>
      <c r="H370" s="642"/>
      <c r="I370" s="642"/>
      <c r="J370" s="668">
        <f>1000*170</f>
        <v>170000</v>
      </c>
      <c r="K370" s="700">
        <f>J370</f>
        <v>170000</v>
      </c>
      <c r="L370" s="637"/>
      <c r="M370" s="637"/>
    </row>
    <row r="371" spans="1:13" s="23" customFormat="1" ht="21" customHeight="1" x14ac:dyDescent="0.5">
      <c r="A371" s="742"/>
      <c r="B371" s="736" t="s">
        <v>1232</v>
      </c>
      <c r="C371" s="714"/>
      <c r="D371" s="7"/>
      <c r="E371" s="7"/>
      <c r="F371" s="7"/>
      <c r="G371" s="7"/>
      <c r="H371" s="642">
        <v>500</v>
      </c>
      <c r="I371" s="642">
        <v>2</v>
      </c>
      <c r="J371" s="675">
        <v>50</v>
      </c>
      <c r="K371" s="700">
        <f>H371*I371*J371</f>
        <v>50000</v>
      </c>
      <c r="L371" s="637"/>
      <c r="M371" s="637"/>
    </row>
    <row r="372" spans="1:13" s="23" customFormat="1" ht="21" customHeight="1" x14ac:dyDescent="0.5">
      <c r="A372" s="742"/>
      <c r="B372" s="736" t="s">
        <v>1211</v>
      </c>
      <c r="C372" s="714"/>
      <c r="D372" s="7"/>
      <c r="E372" s="7"/>
      <c r="F372" s="7"/>
      <c r="G372" s="7"/>
      <c r="H372" s="642">
        <v>1</v>
      </c>
      <c r="I372" s="642">
        <v>7</v>
      </c>
      <c r="J372" s="675">
        <v>1200</v>
      </c>
      <c r="K372" s="700">
        <f>H372*I372*J372</f>
        <v>8400</v>
      </c>
      <c r="L372" s="637"/>
      <c r="M372" s="637"/>
    </row>
    <row r="373" spans="1:13" s="23" customFormat="1" ht="21" customHeight="1" x14ac:dyDescent="0.5">
      <c r="A373" s="742"/>
      <c r="B373" s="736" t="s">
        <v>1212</v>
      </c>
      <c r="C373" s="714"/>
      <c r="D373" s="7"/>
      <c r="E373" s="7"/>
      <c r="F373" s="7"/>
      <c r="G373" s="7"/>
      <c r="H373" s="642">
        <v>500</v>
      </c>
      <c r="I373" s="642">
        <v>1</v>
      </c>
      <c r="J373" s="675">
        <v>70</v>
      </c>
      <c r="K373" s="700">
        <f>H373*I373*J373</f>
        <v>35000</v>
      </c>
      <c r="L373" s="637"/>
      <c r="M373" s="637"/>
    </row>
    <row r="374" spans="1:13" s="23" customFormat="1" ht="21.75" x14ac:dyDescent="0.5">
      <c r="A374" s="742"/>
      <c r="B374" s="739" t="s">
        <v>1233</v>
      </c>
      <c r="C374" s="713"/>
      <c r="D374" s="644"/>
      <c r="E374" s="644"/>
      <c r="F374" s="644"/>
      <c r="G374" s="644"/>
      <c r="H374" s="644"/>
      <c r="I374" s="644"/>
      <c r="J374" s="673"/>
      <c r="K374" s="702"/>
      <c r="L374" s="637"/>
      <c r="M374" s="637"/>
    </row>
    <row r="375" spans="1:13" s="23" customFormat="1" ht="22.5" customHeight="1" x14ac:dyDescent="0.5">
      <c r="A375" s="742"/>
      <c r="B375" s="732" t="s">
        <v>1234</v>
      </c>
      <c r="C375" s="714"/>
      <c r="D375" s="7"/>
      <c r="E375" s="7"/>
      <c r="F375" s="7"/>
      <c r="G375" s="7"/>
      <c r="H375" s="7"/>
      <c r="I375" s="7"/>
      <c r="J375" s="674"/>
      <c r="K375" s="699">
        <f>SUM(K376:K380)</f>
        <v>1018400</v>
      </c>
      <c r="L375" s="637"/>
      <c r="M375" s="637"/>
    </row>
    <row r="376" spans="1:13" s="23" customFormat="1" ht="22.5" customHeight="1" x14ac:dyDescent="0.5">
      <c r="A376" s="742"/>
      <c r="B376" s="734" t="s">
        <v>1235</v>
      </c>
      <c r="C376" s="714"/>
      <c r="D376" s="7"/>
      <c r="E376" s="7"/>
      <c r="F376" s="7"/>
      <c r="G376" s="7"/>
      <c r="H376" s="641">
        <v>1000</v>
      </c>
      <c r="I376" s="642">
        <v>1</v>
      </c>
      <c r="J376" s="669">
        <v>500</v>
      </c>
      <c r="K376" s="700">
        <f>H376*I376*J376</f>
        <v>500000</v>
      </c>
      <c r="L376" s="637"/>
      <c r="M376" s="637"/>
    </row>
    <row r="377" spans="1:13" s="23" customFormat="1" ht="22.5" customHeight="1" x14ac:dyDescent="0.5">
      <c r="A377" s="742"/>
      <c r="B377" s="734" t="s">
        <v>1227</v>
      </c>
      <c r="C377" s="714"/>
      <c r="D377" s="7"/>
      <c r="E377" s="7"/>
      <c r="F377" s="7"/>
      <c r="G377" s="7"/>
      <c r="H377" s="642"/>
      <c r="I377" s="642"/>
      <c r="J377" s="669">
        <f>2000*170</f>
        <v>340000</v>
      </c>
      <c r="K377" s="700">
        <f>J377</f>
        <v>340000</v>
      </c>
      <c r="L377" s="637"/>
      <c r="M377" s="637"/>
    </row>
    <row r="378" spans="1:13" s="23" customFormat="1" ht="22.5" customHeight="1" x14ac:dyDescent="0.5">
      <c r="A378" s="742"/>
      <c r="B378" s="736" t="s">
        <v>1228</v>
      </c>
      <c r="C378" s="714"/>
      <c r="D378" s="7"/>
      <c r="E378" s="7"/>
      <c r="F378" s="7"/>
      <c r="G378" s="7"/>
      <c r="H378" s="641">
        <v>1000</v>
      </c>
      <c r="I378" s="642">
        <v>2</v>
      </c>
      <c r="J378" s="670">
        <v>50</v>
      </c>
      <c r="K378" s="700">
        <f>H378*I378*J378</f>
        <v>100000</v>
      </c>
      <c r="L378" s="637"/>
      <c r="M378" s="637"/>
    </row>
    <row r="379" spans="1:13" s="23" customFormat="1" ht="22.5" customHeight="1" x14ac:dyDescent="0.5">
      <c r="A379" s="742"/>
      <c r="B379" s="736" t="s">
        <v>1211</v>
      </c>
      <c r="C379" s="714"/>
      <c r="D379" s="7"/>
      <c r="E379" s="7"/>
      <c r="F379" s="7"/>
      <c r="G379" s="7"/>
      <c r="H379" s="642">
        <v>1</v>
      </c>
      <c r="I379" s="642">
        <v>7</v>
      </c>
      <c r="J379" s="670">
        <v>1200</v>
      </c>
      <c r="K379" s="700">
        <f>H379*I379*J379</f>
        <v>8400</v>
      </c>
      <c r="L379" s="637"/>
      <c r="M379" s="637"/>
    </row>
    <row r="380" spans="1:13" s="23" customFormat="1" ht="22.5" customHeight="1" x14ac:dyDescent="0.5">
      <c r="A380" s="742"/>
      <c r="B380" s="736" t="s">
        <v>1212</v>
      </c>
      <c r="C380" s="714"/>
      <c r="D380" s="7"/>
      <c r="E380" s="7"/>
      <c r="F380" s="7"/>
      <c r="G380" s="7"/>
      <c r="H380" s="641">
        <v>1000</v>
      </c>
      <c r="I380" s="642">
        <v>1</v>
      </c>
      <c r="J380" s="670">
        <v>70</v>
      </c>
      <c r="K380" s="700">
        <f>H380*I380*J380</f>
        <v>70000</v>
      </c>
      <c r="L380" s="637"/>
      <c r="M380" s="637"/>
    </row>
    <row r="381" spans="1:13" s="23" customFormat="1" ht="21.75" x14ac:dyDescent="0.5">
      <c r="A381" s="742"/>
      <c r="B381" s="740" t="s">
        <v>1236</v>
      </c>
      <c r="C381" s="715"/>
      <c r="D381" s="645"/>
      <c r="E381" s="645"/>
      <c r="F381" s="645"/>
      <c r="G381" s="645"/>
      <c r="H381" s="646"/>
      <c r="I381" s="647"/>
      <c r="J381" s="676"/>
      <c r="K381" s="703"/>
      <c r="L381" s="637"/>
      <c r="M381" s="637"/>
    </row>
    <row r="382" spans="1:13" ht="17.25" customHeight="1" x14ac:dyDescent="0.45">
      <c r="A382" s="742"/>
      <c r="B382" s="718" t="s">
        <v>970</v>
      </c>
      <c r="C382" s="708"/>
      <c r="D382" s="178"/>
      <c r="E382" s="178"/>
      <c r="F382" s="179"/>
      <c r="G382" s="186"/>
      <c r="H382" s="178"/>
      <c r="I382" s="178"/>
      <c r="J382" s="677"/>
      <c r="K382" s="695">
        <f>K383+K384+K385+K386+K390+K394+K401+K409+K417+K425+K431</f>
        <v>2428260</v>
      </c>
    </row>
    <row r="383" spans="1:13" ht="17.25" customHeight="1" x14ac:dyDescent="0.45">
      <c r="A383" s="742"/>
      <c r="B383" s="729" t="s">
        <v>1237</v>
      </c>
      <c r="C383" s="708"/>
      <c r="D383" s="178"/>
      <c r="E383" s="178"/>
      <c r="F383" s="179"/>
      <c r="G383" s="178"/>
      <c r="H383" s="178"/>
      <c r="I383" s="178"/>
      <c r="J383" s="664" t="s">
        <v>242</v>
      </c>
      <c r="K383" s="695">
        <v>150000</v>
      </c>
    </row>
    <row r="384" spans="1:13" ht="17.25" customHeight="1" x14ac:dyDescent="0.45">
      <c r="A384" s="742"/>
      <c r="B384" s="729" t="s">
        <v>1238</v>
      </c>
      <c r="C384" s="708"/>
      <c r="D384" s="178"/>
      <c r="E384" s="178"/>
      <c r="F384" s="179"/>
      <c r="G384" s="178"/>
      <c r="H384" s="178"/>
      <c r="I384" s="178"/>
      <c r="J384" s="664" t="s">
        <v>242</v>
      </c>
      <c r="K384" s="695">
        <v>200000</v>
      </c>
    </row>
    <row r="385" spans="1:11" ht="17.25" customHeight="1" x14ac:dyDescent="0.45">
      <c r="A385" s="742"/>
      <c r="B385" s="729" t="s">
        <v>1239</v>
      </c>
      <c r="C385" s="708"/>
      <c r="D385" s="178"/>
      <c r="E385" s="178"/>
      <c r="F385" s="179"/>
      <c r="G385" s="178"/>
      <c r="H385" s="178"/>
      <c r="I385" s="178"/>
      <c r="J385" s="664" t="s">
        <v>242</v>
      </c>
      <c r="K385" s="695">
        <v>200000</v>
      </c>
    </row>
    <row r="386" spans="1:11" ht="17.25" customHeight="1" x14ac:dyDescent="0.45">
      <c r="A386" s="742"/>
      <c r="B386" s="729" t="s">
        <v>1240</v>
      </c>
      <c r="C386" s="708"/>
      <c r="D386" s="178"/>
      <c r="E386" s="178"/>
      <c r="F386" s="179"/>
      <c r="G386" s="178"/>
      <c r="H386" s="178"/>
      <c r="I386" s="178"/>
      <c r="J386" s="678"/>
      <c r="K386" s="695">
        <f>SUM(K387:K389)</f>
        <v>305400</v>
      </c>
    </row>
    <row r="387" spans="1:11" ht="17.25" customHeight="1" x14ac:dyDescent="0.45">
      <c r="A387" s="742"/>
      <c r="B387" s="719" t="s">
        <v>1241</v>
      </c>
      <c r="C387" s="708"/>
      <c r="D387" s="178"/>
      <c r="E387" s="178"/>
      <c r="F387" s="179"/>
      <c r="G387" s="178"/>
      <c r="H387" s="178"/>
      <c r="I387" s="178"/>
      <c r="J387" s="664" t="s">
        <v>242</v>
      </c>
      <c r="K387" s="683">
        <v>150000</v>
      </c>
    </row>
    <row r="388" spans="1:11" ht="17.25" customHeight="1" x14ac:dyDescent="0.45">
      <c r="A388" s="742"/>
      <c r="B388" s="719" t="s">
        <v>1242</v>
      </c>
      <c r="C388" s="708"/>
      <c r="D388" s="178"/>
      <c r="E388" s="178"/>
      <c r="F388" s="179"/>
      <c r="G388" s="42">
        <v>300</v>
      </c>
      <c r="H388" s="42" t="s">
        <v>9</v>
      </c>
      <c r="I388" s="178"/>
      <c r="J388" s="678">
        <v>350</v>
      </c>
      <c r="K388" s="683">
        <f>J388*G388</f>
        <v>105000</v>
      </c>
    </row>
    <row r="389" spans="1:11" ht="17.25" customHeight="1" x14ac:dyDescent="0.45">
      <c r="A389" s="742"/>
      <c r="B389" s="719" t="s">
        <v>1243</v>
      </c>
      <c r="C389" s="708"/>
      <c r="D389" s="178"/>
      <c r="E389" s="178"/>
      <c r="F389" s="179"/>
      <c r="G389" s="42">
        <v>300</v>
      </c>
      <c r="H389" s="42" t="s">
        <v>40</v>
      </c>
      <c r="I389" s="178"/>
      <c r="J389" s="678">
        <v>168</v>
      </c>
      <c r="K389" s="683">
        <f>G389*J389</f>
        <v>50400</v>
      </c>
    </row>
    <row r="390" spans="1:11" ht="17.25" customHeight="1" x14ac:dyDescent="0.45">
      <c r="A390" s="742"/>
      <c r="B390" s="729" t="s">
        <v>1244</v>
      </c>
      <c r="C390" s="708"/>
      <c r="D390" s="178"/>
      <c r="E390" s="178"/>
      <c r="F390" s="179"/>
      <c r="G390" s="178"/>
      <c r="H390" s="178"/>
      <c r="I390" s="178"/>
      <c r="J390" s="678"/>
      <c r="K390" s="695">
        <f>SUM(K391:K393)</f>
        <v>305400</v>
      </c>
    </row>
    <row r="391" spans="1:11" ht="17.25" customHeight="1" x14ac:dyDescent="0.45">
      <c r="A391" s="742"/>
      <c r="B391" s="719" t="s">
        <v>1245</v>
      </c>
      <c r="C391" s="708"/>
      <c r="D391" s="178"/>
      <c r="E391" s="178"/>
      <c r="F391" s="179"/>
      <c r="G391" s="178"/>
      <c r="H391" s="178"/>
      <c r="I391" s="178"/>
      <c r="J391" s="664" t="s">
        <v>242</v>
      </c>
      <c r="K391" s="683">
        <v>150000</v>
      </c>
    </row>
    <row r="392" spans="1:11" ht="17.25" customHeight="1" x14ac:dyDescent="0.45">
      <c r="A392" s="742"/>
      <c r="B392" s="719" t="s">
        <v>1242</v>
      </c>
      <c r="C392" s="708"/>
      <c r="D392" s="178"/>
      <c r="E392" s="178"/>
      <c r="F392" s="179"/>
      <c r="G392" s="42">
        <v>300</v>
      </c>
      <c r="H392" s="42" t="s">
        <v>9</v>
      </c>
      <c r="I392" s="178"/>
      <c r="J392" s="678">
        <v>350</v>
      </c>
      <c r="K392" s="683">
        <f>J392*G392</f>
        <v>105000</v>
      </c>
    </row>
    <row r="393" spans="1:11" ht="17.25" customHeight="1" x14ac:dyDescent="0.45">
      <c r="A393" s="742"/>
      <c r="B393" s="719" t="s">
        <v>1243</v>
      </c>
      <c r="C393" s="708"/>
      <c r="D393" s="178"/>
      <c r="E393" s="178"/>
      <c r="F393" s="179"/>
      <c r="G393" s="42">
        <v>300</v>
      </c>
      <c r="H393" s="42" t="s">
        <v>40</v>
      </c>
      <c r="I393" s="178"/>
      <c r="J393" s="678">
        <v>168</v>
      </c>
      <c r="K393" s="683">
        <f>G393*J393</f>
        <v>50400</v>
      </c>
    </row>
    <row r="394" spans="1:11" ht="17.25" customHeight="1" x14ac:dyDescent="0.45">
      <c r="A394" s="742"/>
      <c r="B394" s="729" t="s">
        <v>1246</v>
      </c>
      <c r="C394" s="708"/>
      <c r="D394" s="178"/>
      <c r="E394" s="178"/>
      <c r="F394" s="179"/>
      <c r="G394" s="178"/>
      <c r="H394" s="178"/>
      <c r="I394" s="178"/>
      <c r="J394" s="678"/>
      <c r="K394" s="695">
        <f>SUM(K395:K400)</f>
        <v>549500</v>
      </c>
    </row>
    <row r="395" spans="1:11" ht="17.25" customHeight="1" x14ac:dyDescent="0.45">
      <c r="A395" s="742"/>
      <c r="B395" s="719" t="s">
        <v>1247</v>
      </c>
      <c r="C395" s="708"/>
      <c r="D395" s="178"/>
      <c r="E395" s="178"/>
      <c r="F395" s="179"/>
      <c r="G395" s="42">
        <v>80</v>
      </c>
      <c r="H395" s="42" t="s">
        <v>1248</v>
      </c>
      <c r="I395" s="178"/>
      <c r="J395" s="678">
        <v>2500</v>
      </c>
      <c r="K395" s="683">
        <f>J395*G395</f>
        <v>200000</v>
      </c>
    </row>
    <row r="396" spans="1:11" ht="17.25" customHeight="1" x14ac:dyDescent="0.45">
      <c r="A396" s="742"/>
      <c r="B396" s="719" t="s">
        <v>1249</v>
      </c>
      <c r="C396" s="708"/>
      <c r="D396" s="178"/>
      <c r="E396" s="178"/>
      <c r="F396" s="179"/>
      <c r="G396" s="42">
        <v>200</v>
      </c>
      <c r="H396" s="42" t="s">
        <v>676</v>
      </c>
      <c r="I396" s="178"/>
      <c r="J396" s="678">
        <f>1200</f>
        <v>1200</v>
      </c>
      <c r="K396" s="683">
        <f>J396*G396</f>
        <v>240000</v>
      </c>
    </row>
    <row r="397" spans="1:11" ht="17.25" customHeight="1" x14ac:dyDescent="0.45">
      <c r="A397" s="742"/>
      <c r="B397" s="719" t="s">
        <v>1250</v>
      </c>
      <c r="C397" s="708"/>
      <c r="D397" s="178"/>
      <c r="E397" s="178"/>
      <c r="F397" s="179"/>
      <c r="G397" s="42">
        <v>160</v>
      </c>
      <c r="H397" s="42" t="s">
        <v>26</v>
      </c>
      <c r="I397" s="178"/>
      <c r="J397" s="678">
        <f>240</f>
        <v>240</v>
      </c>
      <c r="K397" s="683">
        <f>J397*G397</f>
        <v>38400</v>
      </c>
    </row>
    <row r="398" spans="1:11" ht="17.25" customHeight="1" x14ac:dyDescent="0.45">
      <c r="A398" s="742"/>
      <c r="B398" s="719" t="s">
        <v>1251</v>
      </c>
      <c r="C398" s="708"/>
      <c r="D398" s="178"/>
      <c r="E398" s="178"/>
      <c r="F398" s="179"/>
      <c r="G398" s="42">
        <v>240</v>
      </c>
      <c r="H398" s="42" t="s">
        <v>26</v>
      </c>
      <c r="I398" s="178"/>
      <c r="J398" s="678">
        <f>270</f>
        <v>270</v>
      </c>
      <c r="K398" s="683">
        <f>J398*G398</f>
        <v>64800</v>
      </c>
    </row>
    <row r="399" spans="1:11" ht="17.25" customHeight="1" x14ac:dyDescent="0.45">
      <c r="A399" s="742"/>
      <c r="B399" s="719" t="s">
        <v>1252</v>
      </c>
      <c r="C399" s="708"/>
      <c r="D399" s="178"/>
      <c r="E399" s="178"/>
      <c r="F399" s="179"/>
      <c r="G399" s="42">
        <v>40</v>
      </c>
      <c r="H399" s="42" t="s">
        <v>677</v>
      </c>
      <c r="I399" s="178"/>
      <c r="J399" s="678">
        <f>70</f>
        <v>70</v>
      </c>
      <c r="K399" s="683">
        <f>J399*G399</f>
        <v>2800</v>
      </c>
    </row>
    <row r="400" spans="1:11" ht="17.25" customHeight="1" x14ac:dyDescent="0.45">
      <c r="A400" s="742"/>
      <c r="B400" s="719" t="s">
        <v>1253</v>
      </c>
      <c r="C400" s="708"/>
      <c r="D400" s="178"/>
      <c r="E400" s="178"/>
      <c r="F400" s="179"/>
      <c r="G400" s="186"/>
      <c r="H400" s="186"/>
      <c r="I400" s="178"/>
      <c r="J400" s="664" t="s">
        <v>242</v>
      </c>
      <c r="K400" s="683">
        <v>3500</v>
      </c>
    </row>
    <row r="401" spans="1:11" ht="17.25" customHeight="1" x14ac:dyDescent="0.45">
      <c r="A401" s="742"/>
      <c r="B401" s="729" t="s">
        <v>1254</v>
      </c>
      <c r="C401" s="708"/>
      <c r="D401" s="178"/>
      <c r="E401" s="178"/>
      <c r="F401" s="179"/>
      <c r="G401" s="178"/>
      <c r="H401" s="178"/>
      <c r="I401" s="178"/>
      <c r="J401" s="678"/>
      <c r="K401" s="695">
        <f>SUM(K402:K408)</f>
        <v>252100</v>
      </c>
    </row>
    <row r="402" spans="1:11" ht="17.25" customHeight="1" x14ac:dyDescent="0.45">
      <c r="A402" s="742"/>
      <c r="B402" s="719" t="s">
        <v>1255</v>
      </c>
      <c r="C402" s="708"/>
      <c r="D402" s="178"/>
      <c r="E402" s="178"/>
      <c r="F402" s="179"/>
      <c r="G402" s="42">
        <v>200</v>
      </c>
      <c r="H402" s="42" t="s">
        <v>678</v>
      </c>
      <c r="I402" s="178"/>
      <c r="J402" s="678">
        <f>150</f>
        <v>150</v>
      </c>
      <c r="K402" s="683">
        <f>J402*G402</f>
        <v>30000</v>
      </c>
    </row>
    <row r="403" spans="1:11" ht="17.25" customHeight="1" x14ac:dyDescent="0.45">
      <c r="A403" s="742"/>
      <c r="B403" s="719" t="s">
        <v>1256</v>
      </c>
      <c r="C403" s="708"/>
      <c r="D403" s="178"/>
      <c r="E403" s="178"/>
      <c r="F403" s="179"/>
      <c r="G403" s="42">
        <v>14</v>
      </c>
      <c r="H403" s="42" t="s">
        <v>1023</v>
      </c>
      <c r="I403" s="178"/>
      <c r="J403" s="678">
        <f>1200</f>
        <v>1200</v>
      </c>
      <c r="K403" s="683">
        <f t="shared" ref="K403:K408" si="15">J403*G403</f>
        <v>16800</v>
      </c>
    </row>
    <row r="404" spans="1:11" ht="17.25" customHeight="1" x14ac:dyDescent="0.45">
      <c r="A404" s="742"/>
      <c r="B404" s="719" t="s">
        <v>1257</v>
      </c>
      <c r="C404" s="708"/>
      <c r="D404" s="178"/>
      <c r="E404" s="178"/>
      <c r="F404" s="179"/>
      <c r="G404" s="42">
        <v>6</v>
      </c>
      <c r="H404" s="42" t="s">
        <v>672</v>
      </c>
      <c r="I404" s="178"/>
      <c r="J404" s="678">
        <f>300</f>
        <v>300</v>
      </c>
      <c r="K404" s="683">
        <f t="shared" si="15"/>
        <v>1800</v>
      </c>
    </row>
    <row r="405" spans="1:11" ht="17.25" customHeight="1" x14ac:dyDescent="0.45">
      <c r="A405" s="742"/>
      <c r="B405" s="719" t="s">
        <v>1258</v>
      </c>
      <c r="C405" s="708"/>
      <c r="D405" s="178"/>
      <c r="E405" s="178"/>
      <c r="F405" s="179"/>
      <c r="G405" s="42">
        <v>300</v>
      </c>
      <c r="H405" s="42" t="s">
        <v>672</v>
      </c>
      <c r="I405" s="178"/>
      <c r="J405" s="678">
        <f>500</f>
        <v>500</v>
      </c>
      <c r="K405" s="683">
        <f t="shared" si="15"/>
        <v>150000</v>
      </c>
    </row>
    <row r="406" spans="1:11" ht="17.25" customHeight="1" x14ac:dyDescent="0.45">
      <c r="A406" s="742"/>
      <c r="B406" s="719" t="s">
        <v>1259</v>
      </c>
      <c r="C406" s="708"/>
      <c r="D406" s="178"/>
      <c r="E406" s="178"/>
      <c r="F406" s="179"/>
      <c r="G406" s="42">
        <v>600</v>
      </c>
      <c r="H406" s="42" t="s">
        <v>1260</v>
      </c>
      <c r="I406" s="178"/>
      <c r="J406" s="678">
        <f>50</f>
        <v>50</v>
      </c>
      <c r="K406" s="683">
        <f t="shared" si="15"/>
        <v>30000</v>
      </c>
    </row>
    <row r="407" spans="1:11" ht="17.25" customHeight="1" x14ac:dyDescent="0.45">
      <c r="A407" s="742"/>
      <c r="B407" s="719" t="s">
        <v>1261</v>
      </c>
      <c r="C407" s="708"/>
      <c r="D407" s="178"/>
      <c r="E407" s="178"/>
      <c r="F407" s="179"/>
      <c r="G407" s="42">
        <v>1</v>
      </c>
      <c r="H407" s="42" t="s">
        <v>1248</v>
      </c>
      <c r="I407" s="178"/>
      <c r="J407" s="678">
        <v>2500</v>
      </c>
      <c r="K407" s="683">
        <f t="shared" si="15"/>
        <v>2500</v>
      </c>
    </row>
    <row r="408" spans="1:11" ht="17.25" customHeight="1" x14ac:dyDescent="0.45">
      <c r="A408" s="742"/>
      <c r="B408" s="719" t="s">
        <v>1262</v>
      </c>
      <c r="C408" s="708"/>
      <c r="D408" s="178"/>
      <c r="E408" s="178"/>
      <c r="F408" s="179"/>
      <c r="G408" s="42">
        <v>300</v>
      </c>
      <c r="H408" s="42" t="s">
        <v>1260</v>
      </c>
      <c r="I408" s="178"/>
      <c r="J408" s="678">
        <f>70</f>
        <v>70</v>
      </c>
      <c r="K408" s="683">
        <f t="shared" si="15"/>
        <v>21000</v>
      </c>
    </row>
    <row r="409" spans="1:11" ht="17.25" customHeight="1" x14ac:dyDescent="0.45">
      <c r="A409" s="742"/>
      <c r="B409" s="729" t="s">
        <v>1263</v>
      </c>
      <c r="C409" s="708"/>
      <c r="D409" s="178"/>
      <c r="E409" s="178"/>
      <c r="F409" s="179"/>
      <c r="G409" s="178"/>
      <c r="H409" s="178"/>
      <c r="I409" s="178"/>
      <c r="J409" s="678"/>
      <c r="K409" s="695">
        <f>SUM(K410:K416)</f>
        <v>102500</v>
      </c>
    </row>
    <row r="410" spans="1:11" ht="17.25" customHeight="1" x14ac:dyDescent="0.45">
      <c r="A410" s="742"/>
      <c r="B410" s="719" t="s">
        <v>1264</v>
      </c>
      <c r="C410" s="708"/>
      <c r="D410" s="178"/>
      <c r="E410" s="178"/>
      <c r="F410" s="179"/>
      <c r="G410" s="42">
        <v>100</v>
      </c>
      <c r="H410" s="42" t="s">
        <v>678</v>
      </c>
      <c r="I410" s="178"/>
      <c r="J410" s="678">
        <f>150</f>
        <v>150</v>
      </c>
      <c r="K410" s="683">
        <f t="shared" ref="K410:K416" si="16">J410*G410</f>
        <v>15000</v>
      </c>
    </row>
    <row r="411" spans="1:11" ht="17.25" customHeight="1" x14ac:dyDescent="0.45">
      <c r="A411" s="742"/>
      <c r="B411" s="719" t="s">
        <v>1256</v>
      </c>
      <c r="C411" s="708"/>
      <c r="D411" s="178"/>
      <c r="E411" s="178"/>
      <c r="F411" s="179"/>
      <c r="G411" s="42">
        <v>14</v>
      </c>
      <c r="H411" s="42" t="s">
        <v>1023</v>
      </c>
      <c r="I411" s="178"/>
      <c r="J411" s="678">
        <f>1200</f>
        <v>1200</v>
      </c>
      <c r="K411" s="683">
        <f t="shared" si="16"/>
        <v>16800</v>
      </c>
    </row>
    <row r="412" spans="1:11" ht="17.25" customHeight="1" x14ac:dyDescent="0.45">
      <c r="A412" s="742"/>
      <c r="B412" s="719" t="s">
        <v>1257</v>
      </c>
      <c r="C412" s="708"/>
      <c r="D412" s="178"/>
      <c r="E412" s="178"/>
      <c r="F412" s="179"/>
      <c r="G412" s="42">
        <v>4</v>
      </c>
      <c r="H412" s="42" t="s">
        <v>672</v>
      </c>
      <c r="I412" s="178"/>
      <c r="J412" s="678">
        <f>300</f>
        <v>300</v>
      </c>
      <c r="K412" s="683">
        <f t="shared" si="16"/>
        <v>1200</v>
      </c>
    </row>
    <row r="413" spans="1:11" ht="17.25" customHeight="1" x14ac:dyDescent="0.45">
      <c r="A413" s="742"/>
      <c r="B413" s="719" t="s">
        <v>1265</v>
      </c>
      <c r="C413" s="708"/>
      <c r="D413" s="178"/>
      <c r="E413" s="178"/>
      <c r="F413" s="179"/>
      <c r="G413" s="42">
        <v>100</v>
      </c>
      <c r="H413" s="42" t="s">
        <v>672</v>
      </c>
      <c r="I413" s="178"/>
      <c r="J413" s="678">
        <f>500</f>
        <v>500</v>
      </c>
      <c r="K413" s="683">
        <f t="shared" si="16"/>
        <v>50000</v>
      </c>
    </row>
    <row r="414" spans="1:11" ht="17.25" customHeight="1" x14ac:dyDescent="0.45">
      <c r="A414" s="742"/>
      <c r="B414" s="719" t="s">
        <v>1266</v>
      </c>
      <c r="C414" s="708"/>
      <c r="D414" s="178"/>
      <c r="E414" s="178"/>
      <c r="F414" s="179"/>
      <c r="G414" s="42">
        <v>200</v>
      </c>
      <c r="H414" s="42" t="s">
        <v>1260</v>
      </c>
      <c r="I414" s="178"/>
      <c r="J414" s="678">
        <f>50</f>
        <v>50</v>
      </c>
      <c r="K414" s="683">
        <f t="shared" si="16"/>
        <v>10000</v>
      </c>
    </row>
    <row r="415" spans="1:11" ht="17.25" customHeight="1" x14ac:dyDescent="0.45">
      <c r="A415" s="742"/>
      <c r="B415" s="719" t="s">
        <v>1261</v>
      </c>
      <c r="C415" s="708"/>
      <c r="D415" s="178"/>
      <c r="E415" s="178"/>
      <c r="F415" s="179"/>
      <c r="G415" s="42">
        <v>1</v>
      </c>
      <c r="H415" s="42" t="s">
        <v>1248</v>
      </c>
      <c r="I415" s="178"/>
      <c r="J415" s="678">
        <v>2500</v>
      </c>
      <c r="K415" s="683">
        <f t="shared" si="16"/>
        <v>2500</v>
      </c>
    </row>
    <row r="416" spans="1:11" ht="17.25" customHeight="1" x14ac:dyDescent="0.45">
      <c r="A416" s="742"/>
      <c r="B416" s="719" t="s">
        <v>1267</v>
      </c>
      <c r="C416" s="708"/>
      <c r="D416" s="178"/>
      <c r="E416" s="178"/>
      <c r="F416" s="179"/>
      <c r="G416" s="42">
        <v>100</v>
      </c>
      <c r="H416" s="42" t="s">
        <v>1260</v>
      </c>
      <c r="I416" s="178"/>
      <c r="J416" s="678">
        <f>70</f>
        <v>70</v>
      </c>
      <c r="K416" s="683">
        <f t="shared" si="16"/>
        <v>7000</v>
      </c>
    </row>
    <row r="417" spans="1:11" ht="17.25" customHeight="1" x14ac:dyDescent="0.45">
      <c r="A417" s="742"/>
      <c r="B417" s="729" t="s">
        <v>1268</v>
      </c>
      <c r="C417" s="708"/>
      <c r="D417" s="178"/>
      <c r="E417" s="178"/>
      <c r="F417" s="179"/>
      <c r="G417" s="178"/>
      <c r="H417" s="178"/>
      <c r="I417" s="178"/>
      <c r="J417" s="678"/>
      <c r="K417" s="695">
        <f>SUM(K418:K424)</f>
        <v>267100</v>
      </c>
    </row>
    <row r="418" spans="1:11" ht="17.25" customHeight="1" x14ac:dyDescent="0.45">
      <c r="A418" s="742"/>
      <c r="B418" s="719" t="s">
        <v>1269</v>
      </c>
      <c r="C418" s="708"/>
      <c r="D418" s="178"/>
      <c r="E418" s="178"/>
      <c r="F418" s="179"/>
      <c r="G418" s="42">
        <v>300</v>
      </c>
      <c r="H418" s="42" t="s">
        <v>678</v>
      </c>
      <c r="I418" s="178"/>
      <c r="J418" s="678">
        <f>150</f>
        <v>150</v>
      </c>
      <c r="K418" s="683">
        <f t="shared" ref="K418:K424" si="17">J418*G418</f>
        <v>45000</v>
      </c>
    </row>
    <row r="419" spans="1:11" ht="17.25" customHeight="1" x14ac:dyDescent="0.45">
      <c r="A419" s="742"/>
      <c r="B419" s="719" t="s">
        <v>1256</v>
      </c>
      <c r="C419" s="708"/>
      <c r="D419" s="178"/>
      <c r="E419" s="178"/>
      <c r="F419" s="179"/>
      <c r="G419" s="42">
        <v>14</v>
      </c>
      <c r="H419" s="42" t="s">
        <v>1023</v>
      </c>
      <c r="I419" s="178"/>
      <c r="J419" s="678">
        <f>1200</f>
        <v>1200</v>
      </c>
      <c r="K419" s="683">
        <f t="shared" si="17"/>
        <v>16800</v>
      </c>
    </row>
    <row r="420" spans="1:11" ht="17.25" customHeight="1" x14ac:dyDescent="0.45">
      <c r="A420" s="742"/>
      <c r="B420" s="719" t="s">
        <v>1257</v>
      </c>
      <c r="C420" s="708"/>
      <c r="D420" s="178"/>
      <c r="E420" s="178"/>
      <c r="F420" s="179"/>
      <c r="G420" s="42">
        <v>6</v>
      </c>
      <c r="H420" s="42" t="s">
        <v>672</v>
      </c>
      <c r="I420" s="178"/>
      <c r="J420" s="678">
        <f>300</f>
        <v>300</v>
      </c>
      <c r="K420" s="683">
        <f t="shared" si="17"/>
        <v>1800</v>
      </c>
    </row>
    <row r="421" spans="1:11" ht="17.25" customHeight="1" x14ac:dyDescent="0.45">
      <c r="A421" s="742"/>
      <c r="B421" s="719" t="s">
        <v>1258</v>
      </c>
      <c r="C421" s="708"/>
      <c r="D421" s="178"/>
      <c r="E421" s="178"/>
      <c r="F421" s="179"/>
      <c r="G421" s="42">
        <v>300</v>
      </c>
      <c r="H421" s="42" t="s">
        <v>672</v>
      </c>
      <c r="I421" s="178"/>
      <c r="J421" s="678">
        <f>500</f>
        <v>500</v>
      </c>
      <c r="K421" s="683">
        <f t="shared" si="17"/>
        <v>150000</v>
      </c>
    </row>
    <row r="422" spans="1:11" ht="17.25" customHeight="1" x14ac:dyDescent="0.45">
      <c r="A422" s="742"/>
      <c r="B422" s="719" t="s">
        <v>1259</v>
      </c>
      <c r="C422" s="708"/>
      <c r="D422" s="178"/>
      <c r="E422" s="178"/>
      <c r="F422" s="179"/>
      <c r="G422" s="42">
        <v>600</v>
      </c>
      <c r="H422" s="42" t="s">
        <v>1260</v>
      </c>
      <c r="I422" s="178"/>
      <c r="J422" s="678">
        <f>50</f>
        <v>50</v>
      </c>
      <c r="K422" s="683">
        <f t="shared" si="17"/>
        <v>30000</v>
      </c>
    </row>
    <row r="423" spans="1:11" ht="17.25" customHeight="1" x14ac:dyDescent="0.45">
      <c r="A423" s="742"/>
      <c r="B423" s="719" t="s">
        <v>1261</v>
      </c>
      <c r="C423" s="708"/>
      <c r="D423" s="178"/>
      <c r="E423" s="178"/>
      <c r="F423" s="179"/>
      <c r="G423" s="42">
        <v>1</v>
      </c>
      <c r="H423" s="42" t="s">
        <v>1248</v>
      </c>
      <c r="I423" s="178"/>
      <c r="J423" s="678">
        <v>2500</v>
      </c>
      <c r="K423" s="683">
        <f t="shared" si="17"/>
        <v>2500</v>
      </c>
    </row>
    <row r="424" spans="1:11" ht="17.25" customHeight="1" x14ac:dyDescent="0.45">
      <c r="A424" s="742"/>
      <c r="B424" s="719" t="s">
        <v>1262</v>
      </c>
      <c r="C424" s="708"/>
      <c r="D424" s="178"/>
      <c r="E424" s="178"/>
      <c r="F424" s="179"/>
      <c r="G424" s="42">
        <v>300</v>
      </c>
      <c r="H424" s="42" t="s">
        <v>1260</v>
      </c>
      <c r="I424" s="178"/>
      <c r="J424" s="678">
        <f>70</f>
        <v>70</v>
      </c>
      <c r="K424" s="683">
        <f t="shared" si="17"/>
        <v>21000</v>
      </c>
    </row>
    <row r="425" spans="1:11" ht="17.25" customHeight="1" x14ac:dyDescent="0.45">
      <c r="A425" s="742"/>
      <c r="B425" s="729" t="s">
        <v>1270</v>
      </c>
      <c r="C425" s="708"/>
      <c r="D425" s="178"/>
      <c r="E425" s="178"/>
      <c r="F425" s="179"/>
      <c r="G425" s="178"/>
      <c r="H425" s="178"/>
      <c r="I425" s="178"/>
      <c r="J425" s="678"/>
      <c r="K425" s="695">
        <f>SUM(K426:K430)</f>
        <v>39500</v>
      </c>
    </row>
    <row r="426" spans="1:11" ht="17.25" customHeight="1" x14ac:dyDescent="0.45">
      <c r="A426" s="742"/>
      <c r="B426" s="719" t="s">
        <v>1271</v>
      </c>
      <c r="C426" s="708"/>
      <c r="D426" s="178"/>
      <c r="E426" s="178"/>
      <c r="F426" s="179"/>
      <c r="G426" s="42">
        <v>8</v>
      </c>
      <c r="H426" s="42" t="s">
        <v>9</v>
      </c>
      <c r="I426" s="178"/>
      <c r="J426" s="678">
        <v>350</v>
      </c>
      <c r="K426" s="683">
        <f>J426*G426</f>
        <v>2800</v>
      </c>
    </row>
    <row r="427" spans="1:11" ht="17.25" customHeight="1" x14ac:dyDescent="0.45">
      <c r="A427" s="742"/>
      <c r="B427" s="719" t="s">
        <v>1272</v>
      </c>
      <c r="C427" s="708"/>
      <c r="D427" s="178"/>
      <c r="E427" s="178"/>
      <c r="F427" s="179"/>
      <c r="G427" s="42">
        <v>8</v>
      </c>
      <c r="H427" s="42" t="s">
        <v>9</v>
      </c>
      <c r="I427" s="178"/>
      <c r="J427" s="678">
        <v>400</v>
      </c>
      <c r="K427" s="683">
        <f>J427*G427</f>
        <v>3200</v>
      </c>
    </row>
    <row r="428" spans="1:11" ht="17.25" customHeight="1" x14ac:dyDescent="0.45">
      <c r="A428" s="742"/>
      <c r="B428" s="719" t="s">
        <v>1273</v>
      </c>
      <c r="C428" s="708"/>
      <c r="D428" s="178"/>
      <c r="E428" s="178"/>
      <c r="F428" s="179"/>
      <c r="G428" s="42">
        <v>8</v>
      </c>
      <c r="H428" s="42" t="s">
        <v>9</v>
      </c>
      <c r="I428" s="178"/>
      <c r="J428" s="678">
        <v>1750</v>
      </c>
      <c r="K428" s="683">
        <f>J428*G428</f>
        <v>14000</v>
      </c>
    </row>
    <row r="429" spans="1:11" ht="17.25" customHeight="1" x14ac:dyDescent="0.45">
      <c r="A429" s="742"/>
      <c r="B429" s="719" t="s">
        <v>1274</v>
      </c>
      <c r="C429" s="708"/>
      <c r="D429" s="178"/>
      <c r="E429" s="178"/>
      <c r="F429" s="179"/>
      <c r="G429" s="42">
        <v>8</v>
      </c>
      <c r="H429" s="42" t="s">
        <v>9</v>
      </c>
      <c r="I429" s="178"/>
      <c r="J429" s="678">
        <v>2000</v>
      </c>
      <c r="K429" s="683">
        <f>J429*G429</f>
        <v>16000</v>
      </c>
    </row>
    <row r="430" spans="1:11" ht="17.25" customHeight="1" x14ac:dyDescent="0.45">
      <c r="A430" s="742"/>
      <c r="B430" s="719" t="s">
        <v>1275</v>
      </c>
      <c r="C430" s="708"/>
      <c r="D430" s="178"/>
      <c r="E430" s="178"/>
      <c r="F430" s="179"/>
      <c r="G430" s="42">
        <v>10</v>
      </c>
      <c r="H430" s="42" t="s">
        <v>9</v>
      </c>
      <c r="I430" s="178"/>
      <c r="J430" s="678">
        <v>350</v>
      </c>
      <c r="K430" s="683">
        <f>J430*G430</f>
        <v>3500</v>
      </c>
    </row>
    <row r="431" spans="1:11" ht="17.25" customHeight="1" x14ac:dyDescent="0.45">
      <c r="A431" s="742"/>
      <c r="B431" s="719" t="s">
        <v>1276</v>
      </c>
      <c r="C431" s="708"/>
      <c r="D431" s="178"/>
      <c r="E431" s="178"/>
      <c r="F431" s="179"/>
      <c r="G431" s="648"/>
      <c r="H431" s="178"/>
      <c r="I431" s="178"/>
      <c r="J431" s="664" t="s">
        <v>242</v>
      </c>
      <c r="K431" s="695">
        <v>56760</v>
      </c>
    </row>
    <row r="432" spans="1:11" ht="17.25" customHeight="1" thickBot="1" x14ac:dyDescent="0.5">
      <c r="A432" s="745"/>
      <c r="B432" s="719"/>
      <c r="C432" s="708"/>
      <c r="D432" s="178"/>
      <c r="E432" s="178"/>
      <c r="F432" s="179"/>
      <c r="G432" s="178"/>
      <c r="H432" s="178"/>
      <c r="I432" s="178"/>
      <c r="J432" s="677"/>
      <c r="K432" s="704"/>
    </row>
    <row r="433" spans="2:11" s="497" customFormat="1" ht="19.5" thickBot="1" x14ac:dyDescent="0.5">
      <c r="B433" s="716" t="s">
        <v>253</v>
      </c>
      <c r="C433" s="1"/>
      <c r="D433" s="1"/>
      <c r="E433" s="1"/>
      <c r="F433" s="1"/>
      <c r="G433" s="1"/>
      <c r="H433" s="1"/>
      <c r="I433" s="1"/>
      <c r="J433" s="1"/>
      <c r="K433" s="705"/>
    </row>
    <row r="434" spans="2:11" s="497" customFormat="1" x14ac:dyDescent="0.45"/>
  </sheetData>
  <mergeCells count="3">
    <mergeCell ref="A2:A3"/>
    <mergeCell ref="B2:B3"/>
    <mergeCell ref="K2:K3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G54"/>
  <sheetViews>
    <sheetView view="pageBreakPreview" zoomScaleNormal="100" zoomScaleSheetLayoutView="100" workbookViewId="0">
      <selection activeCell="B2" sqref="B2:B4"/>
    </sheetView>
  </sheetViews>
  <sheetFormatPr defaultRowHeight="18.75" x14ac:dyDescent="0.45"/>
  <cols>
    <col min="1" max="1" width="7.875" style="1" customWidth="1"/>
    <col min="2" max="2" width="65.75" style="1" customWidth="1"/>
    <col min="3" max="3" width="0.125" style="1" hidden="1" customWidth="1"/>
    <col min="4" max="5" width="8.5" style="1" hidden="1" customWidth="1"/>
    <col min="6" max="6" width="4.125" style="1" hidden="1" customWidth="1"/>
    <col min="7" max="7" width="17" style="1" customWidth="1"/>
    <col min="8" max="16384" width="9" style="1"/>
  </cols>
  <sheetData>
    <row r="2" spans="1:7" s="617" customFormat="1" ht="17.25" customHeight="1" x14ac:dyDescent="0.25">
      <c r="A2" s="824" t="s">
        <v>189</v>
      </c>
      <c r="B2" s="838" t="s">
        <v>1327</v>
      </c>
      <c r="C2" s="764"/>
      <c r="D2" s="764"/>
      <c r="E2" s="764"/>
      <c r="F2" s="764"/>
      <c r="G2" s="838" t="s">
        <v>947</v>
      </c>
    </row>
    <row r="3" spans="1:7" s="617" customFormat="1" ht="25.5" customHeight="1" x14ac:dyDescent="0.25">
      <c r="A3" s="893"/>
      <c r="B3" s="839"/>
      <c r="C3" s="611" t="s">
        <v>261</v>
      </c>
      <c r="D3" s="611" t="s">
        <v>190</v>
      </c>
      <c r="E3" s="611" t="s">
        <v>191</v>
      </c>
      <c r="F3" s="611" t="s">
        <v>192</v>
      </c>
      <c r="G3" s="892"/>
    </row>
    <row r="4" spans="1:7" s="620" customFormat="1" ht="16.5" thickBot="1" x14ac:dyDescent="0.3">
      <c r="A4" s="825"/>
      <c r="B4" s="894"/>
      <c r="C4" s="619"/>
      <c r="D4" s="619"/>
      <c r="E4" s="619"/>
      <c r="F4" s="619"/>
      <c r="G4" s="746">
        <f>G5+G13+G36</f>
        <v>4150300</v>
      </c>
    </row>
    <row r="5" spans="1:7" ht="17.25" customHeight="1" thickTop="1" x14ac:dyDescent="0.45">
      <c r="A5" s="763"/>
      <c r="B5" s="621" t="s">
        <v>338</v>
      </c>
      <c r="C5" s="179"/>
      <c r="D5" s="179"/>
      <c r="E5" s="179"/>
      <c r="F5" s="179"/>
      <c r="G5" s="747">
        <f>G6+G10</f>
        <v>1086000</v>
      </c>
    </row>
    <row r="6" spans="1:7" ht="17.25" customHeight="1" x14ac:dyDescent="0.45">
      <c r="A6" s="763"/>
      <c r="B6" s="622" t="s">
        <v>195</v>
      </c>
      <c r="C6" s="179"/>
      <c r="D6" s="179"/>
      <c r="E6" s="179"/>
      <c r="F6" s="179"/>
      <c r="G6" s="747">
        <f>SUM(G7:G9)</f>
        <v>855000</v>
      </c>
    </row>
    <row r="7" spans="1:7" ht="21" customHeight="1" x14ac:dyDescent="0.45">
      <c r="A7" s="763"/>
      <c r="B7" s="628" t="s">
        <v>1289</v>
      </c>
      <c r="C7" s="195">
        <v>1</v>
      </c>
      <c r="D7" s="195">
        <v>7</v>
      </c>
      <c r="E7" s="195">
        <v>6</v>
      </c>
      <c r="F7" s="640">
        <v>60000</v>
      </c>
      <c r="G7" s="749">
        <f>F7*E7*C7</f>
        <v>360000</v>
      </c>
    </row>
    <row r="8" spans="1:7" ht="18" customHeight="1" x14ac:dyDescent="0.45">
      <c r="A8" s="763"/>
      <c r="B8" s="755" t="s">
        <v>1328</v>
      </c>
      <c r="C8" s="195">
        <v>1</v>
      </c>
      <c r="D8" s="195">
        <v>7</v>
      </c>
      <c r="E8" s="195">
        <v>5</v>
      </c>
      <c r="F8" s="181">
        <v>50000</v>
      </c>
      <c r="G8" s="750">
        <f>F8*E8*C8</f>
        <v>250000</v>
      </c>
    </row>
    <row r="9" spans="1:7" ht="17.25" customHeight="1" x14ac:dyDescent="0.45">
      <c r="A9" s="763"/>
      <c r="B9" s="633" t="s">
        <v>1329</v>
      </c>
      <c r="C9" s="195">
        <v>1</v>
      </c>
      <c r="D9" s="195">
        <v>5</v>
      </c>
      <c r="E9" s="195">
        <v>7</v>
      </c>
      <c r="F9" s="181">
        <v>35000</v>
      </c>
      <c r="G9" s="750">
        <f>F9*E9*C9</f>
        <v>245000</v>
      </c>
    </row>
    <row r="10" spans="1:7" ht="17.25" customHeight="1" x14ac:dyDescent="0.45">
      <c r="A10" s="763"/>
      <c r="B10" s="632" t="s">
        <v>200</v>
      </c>
      <c r="C10" s="748"/>
      <c r="D10" s="748"/>
      <c r="E10" s="748"/>
      <c r="F10" s="751"/>
      <c r="G10" s="747">
        <f>SUM(G11:G12)</f>
        <v>231000</v>
      </c>
    </row>
    <row r="11" spans="1:7" ht="17.25" customHeight="1" x14ac:dyDescent="0.45">
      <c r="A11" s="763"/>
      <c r="B11" s="633" t="s">
        <v>1330</v>
      </c>
      <c r="C11" s="195">
        <v>2</v>
      </c>
      <c r="D11" s="748">
        <v>2</v>
      </c>
      <c r="E11" s="195">
        <v>4</v>
      </c>
      <c r="F11" s="181">
        <v>12000</v>
      </c>
      <c r="G11" s="750">
        <f>F11*E11*C11</f>
        <v>96000</v>
      </c>
    </row>
    <row r="12" spans="1:7" ht="17.25" customHeight="1" x14ac:dyDescent="0.45">
      <c r="A12" s="763"/>
      <c r="B12" s="633" t="s">
        <v>1331</v>
      </c>
      <c r="C12" s="195">
        <v>1</v>
      </c>
      <c r="D12" s="748">
        <v>2</v>
      </c>
      <c r="E12" s="195">
        <v>9</v>
      </c>
      <c r="F12" s="181">
        <v>15000</v>
      </c>
      <c r="G12" s="750">
        <f>F12*E12*C12</f>
        <v>135000</v>
      </c>
    </row>
    <row r="13" spans="1:7" ht="17.25" customHeight="1" x14ac:dyDescent="0.45">
      <c r="A13" s="763"/>
      <c r="B13" s="632" t="s">
        <v>945</v>
      </c>
      <c r="C13" s="41"/>
      <c r="D13" s="179"/>
      <c r="E13" s="179"/>
      <c r="F13" s="179"/>
      <c r="G13" s="747">
        <f>G14+G15+G19+G20+G21+G22+G27+G30+G31</f>
        <v>2410300</v>
      </c>
    </row>
    <row r="14" spans="1:7" ht="17.25" customHeight="1" x14ac:dyDescent="0.45">
      <c r="A14" s="763"/>
      <c r="B14" s="632" t="s">
        <v>1290</v>
      </c>
      <c r="C14" s="185"/>
      <c r="D14" s="185"/>
      <c r="E14" s="185"/>
      <c r="F14" s="185"/>
      <c r="G14" s="180">
        <v>150000</v>
      </c>
    </row>
    <row r="15" spans="1:7" ht="41.25" customHeight="1" x14ac:dyDescent="0.45">
      <c r="A15" s="763"/>
      <c r="B15" s="766" t="s">
        <v>1291</v>
      </c>
      <c r="C15" s="185"/>
      <c r="D15" s="185"/>
      <c r="E15" s="185"/>
      <c r="F15" s="185"/>
      <c r="G15" s="747">
        <f>SUM(G16:G18)</f>
        <v>955200</v>
      </c>
    </row>
    <row r="16" spans="1:7" ht="17.25" customHeight="1" x14ac:dyDescent="0.45">
      <c r="A16" s="763"/>
      <c r="B16" s="752" t="s">
        <v>1292</v>
      </c>
      <c r="C16" s="225"/>
      <c r="D16" s="225">
        <v>4</v>
      </c>
      <c r="E16" s="225">
        <v>120</v>
      </c>
      <c r="F16" s="225">
        <v>240</v>
      </c>
      <c r="G16" s="181">
        <f>F16*E16*D16</f>
        <v>115200</v>
      </c>
    </row>
    <row r="17" spans="1:7" ht="17.25" customHeight="1" x14ac:dyDescent="0.45">
      <c r="A17" s="763"/>
      <c r="B17" s="633" t="s">
        <v>1293</v>
      </c>
      <c r="C17" s="225"/>
      <c r="D17" s="225">
        <v>4</v>
      </c>
      <c r="E17" s="225">
        <v>60</v>
      </c>
      <c r="F17" s="636">
        <v>1000</v>
      </c>
      <c r="G17" s="181">
        <f>F17*E17*D17</f>
        <v>240000</v>
      </c>
    </row>
    <row r="18" spans="1:7" ht="17.25" customHeight="1" x14ac:dyDescent="0.45">
      <c r="A18" s="763"/>
      <c r="B18" s="633" t="s">
        <v>1294</v>
      </c>
      <c r="C18" s="225"/>
      <c r="D18" s="225">
        <v>2</v>
      </c>
      <c r="E18" s="225">
        <v>120</v>
      </c>
      <c r="F18" s="636">
        <v>2500</v>
      </c>
      <c r="G18" s="181">
        <f>F18*E18*D18</f>
        <v>600000</v>
      </c>
    </row>
    <row r="19" spans="1:7" ht="36.75" customHeight="1" x14ac:dyDescent="0.45">
      <c r="A19" s="763"/>
      <c r="B19" s="768" t="s">
        <v>1295</v>
      </c>
      <c r="C19" s="185"/>
      <c r="D19" s="185">
        <v>1</v>
      </c>
      <c r="E19" s="185"/>
      <c r="F19" s="185"/>
      <c r="G19" s="180">
        <v>200000</v>
      </c>
    </row>
    <row r="20" spans="1:7" ht="22.5" customHeight="1" x14ac:dyDescent="0.45">
      <c r="A20" s="763"/>
      <c r="B20" s="767" t="s">
        <v>1296</v>
      </c>
      <c r="C20" s="185"/>
      <c r="D20" s="185">
        <v>3</v>
      </c>
      <c r="E20" s="185"/>
      <c r="F20" s="185"/>
      <c r="G20" s="180">
        <v>35000</v>
      </c>
    </row>
    <row r="21" spans="1:7" ht="40.5" customHeight="1" x14ac:dyDescent="0.45">
      <c r="A21" s="763"/>
      <c r="B21" s="767" t="s">
        <v>1297</v>
      </c>
      <c r="C21" s="185"/>
      <c r="D21" s="185"/>
      <c r="E21" s="185">
        <v>300</v>
      </c>
      <c r="F21" s="185">
        <v>100</v>
      </c>
      <c r="G21" s="180">
        <f>F21*E21</f>
        <v>30000</v>
      </c>
    </row>
    <row r="22" spans="1:7" ht="17.25" customHeight="1" x14ac:dyDescent="0.45">
      <c r="A22" s="763"/>
      <c r="B22" s="632" t="s">
        <v>1298</v>
      </c>
      <c r="C22" s="185"/>
      <c r="D22" s="185"/>
      <c r="E22" s="185"/>
      <c r="F22" s="185"/>
      <c r="G22" s="747">
        <f>SUM(G23:G26)</f>
        <v>37100</v>
      </c>
    </row>
    <row r="23" spans="1:7" ht="17.25" customHeight="1" x14ac:dyDescent="0.45">
      <c r="A23" s="763"/>
      <c r="B23" s="753" t="s">
        <v>1299</v>
      </c>
      <c r="C23" s="41"/>
      <c r="D23" s="41">
        <v>1</v>
      </c>
      <c r="E23" s="41">
        <v>6</v>
      </c>
      <c r="F23" s="41">
        <v>600</v>
      </c>
      <c r="G23" s="181">
        <f>F23*E23*D23</f>
        <v>3600</v>
      </c>
    </row>
    <row r="24" spans="1:7" ht="17.25" customHeight="1" x14ac:dyDescent="0.45">
      <c r="A24" s="763"/>
      <c r="B24" s="752" t="s">
        <v>1300</v>
      </c>
      <c r="C24" s="41"/>
      <c r="D24" s="41"/>
      <c r="E24" s="41">
        <v>50</v>
      </c>
      <c r="F24" s="41">
        <v>500</v>
      </c>
      <c r="G24" s="181">
        <f>F24*E24</f>
        <v>25000</v>
      </c>
    </row>
    <row r="25" spans="1:7" ht="17.25" customHeight="1" x14ac:dyDescent="0.45">
      <c r="A25" s="763"/>
      <c r="B25" s="752" t="s">
        <v>1301</v>
      </c>
      <c r="C25" s="41"/>
      <c r="D25" s="41"/>
      <c r="E25" s="41">
        <v>50</v>
      </c>
      <c r="F25" s="41">
        <v>100</v>
      </c>
      <c r="G25" s="181">
        <f>F25*E25</f>
        <v>5000</v>
      </c>
    </row>
    <row r="26" spans="1:7" ht="17.25" customHeight="1" x14ac:dyDescent="0.45">
      <c r="A26" s="763"/>
      <c r="B26" s="752" t="s">
        <v>1302</v>
      </c>
      <c r="C26" s="41"/>
      <c r="D26" s="41"/>
      <c r="E26" s="41">
        <v>50</v>
      </c>
      <c r="F26" s="41">
        <v>70</v>
      </c>
      <c r="G26" s="41">
        <f>F26*E26</f>
        <v>3500</v>
      </c>
    </row>
    <row r="27" spans="1:7" ht="38.25" customHeight="1" x14ac:dyDescent="0.45">
      <c r="A27" s="763"/>
      <c r="B27" s="766" t="s">
        <v>1303</v>
      </c>
      <c r="C27" s="185"/>
      <c r="D27" s="185"/>
      <c r="E27" s="185"/>
      <c r="F27" s="185"/>
      <c r="G27" s="747">
        <f>SUM(G28:G29)</f>
        <v>670000</v>
      </c>
    </row>
    <row r="28" spans="1:7" ht="17.25" customHeight="1" x14ac:dyDescent="0.45">
      <c r="A28" s="763"/>
      <c r="B28" s="752" t="s">
        <v>1304</v>
      </c>
      <c r="C28" s="41"/>
      <c r="D28" s="41">
        <v>2</v>
      </c>
      <c r="E28" s="41">
        <v>500</v>
      </c>
      <c r="F28" s="41">
        <v>600</v>
      </c>
      <c r="G28" s="181">
        <f>F28*E28*D28</f>
        <v>600000</v>
      </c>
    </row>
    <row r="29" spans="1:7" ht="17.25" customHeight="1" x14ac:dyDescent="0.45">
      <c r="A29" s="763"/>
      <c r="B29" s="752" t="s">
        <v>1305</v>
      </c>
      <c r="C29" s="41"/>
      <c r="D29" s="41"/>
      <c r="E29" s="181">
        <v>1000</v>
      </c>
      <c r="F29" s="41">
        <v>70</v>
      </c>
      <c r="G29" s="181">
        <f>F29*E29</f>
        <v>70000</v>
      </c>
    </row>
    <row r="30" spans="1:7" ht="17.25" customHeight="1" x14ac:dyDescent="0.45">
      <c r="A30" s="763"/>
      <c r="B30" s="632" t="s">
        <v>1306</v>
      </c>
      <c r="C30" s="185"/>
      <c r="D30" s="185"/>
      <c r="E30" s="185"/>
      <c r="F30" s="185"/>
      <c r="G30" s="181">
        <v>300000</v>
      </c>
    </row>
    <row r="31" spans="1:7" ht="17.25" customHeight="1" x14ac:dyDescent="0.45">
      <c r="A31" s="763"/>
      <c r="B31" s="632" t="s">
        <v>1307</v>
      </c>
      <c r="C31" s="185"/>
      <c r="D31" s="185"/>
      <c r="E31" s="185"/>
      <c r="F31" s="185"/>
      <c r="G31" s="747">
        <f>SUM(G32:G35)</f>
        <v>33000</v>
      </c>
    </row>
    <row r="32" spans="1:7" ht="17.25" customHeight="1" x14ac:dyDescent="0.45">
      <c r="A32" s="763"/>
      <c r="B32" s="752" t="s">
        <v>1308</v>
      </c>
      <c r="C32" s="41"/>
      <c r="D32" s="41"/>
      <c r="E32" s="41">
        <v>10</v>
      </c>
      <c r="F32" s="41">
        <v>500</v>
      </c>
      <c r="G32" s="181">
        <f>F32*E32</f>
        <v>5000</v>
      </c>
    </row>
    <row r="33" spans="1:7" ht="17.25" customHeight="1" x14ac:dyDescent="0.45">
      <c r="A33" s="763"/>
      <c r="B33" s="752" t="s">
        <v>1309</v>
      </c>
      <c r="C33" s="41"/>
      <c r="D33" s="41"/>
      <c r="E33" s="41">
        <v>10</v>
      </c>
      <c r="F33" s="41">
        <v>500</v>
      </c>
      <c r="G33" s="181">
        <f>F33*E33</f>
        <v>5000</v>
      </c>
    </row>
    <row r="34" spans="1:7" ht="17.25" customHeight="1" x14ac:dyDescent="0.45">
      <c r="A34" s="763"/>
      <c r="B34" s="752" t="s">
        <v>1310</v>
      </c>
      <c r="C34" s="41"/>
      <c r="D34" s="41"/>
      <c r="E34" s="41">
        <v>10</v>
      </c>
      <c r="F34" s="41">
        <v>800</v>
      </c>
      <c r="G34" s="181">
        <f>F34*E34</f>
        <v>8000</v>
      </c>
    </row>
    <row r="35" spans="1:7" ht="17.25" customHeight="1" x14ac:dyDescent="0.45">
      <c r="A35" s="763"/>
      <c r="B35" s="752" t="s">
        <v>1311</v>
      </c>
      <c r="C35" s="41"/>
      <c r="D35" s="41"/>
      <c r="E35" s="41">
        <v>15</v>
      </c>
      <c r="F35" s="181">
        <v>1000</v>
      </c>
      <c r="G35" s="181">
        <f>F35*E35</f>
        <v>15000</v>
      </c>
    </row>
    <row r="36" spans="1:7" ht="17.25" customHeight="1" x14ac:dyDescent="0.45">
      <c r="A36" s="763"/>
      <c r="B36" s="632" t="s">
        <v>294</v>
      </c>
      <c r="C36" s="41"/>
      <c r="D36" s="41"/>
      <c r="E36" s="41"/>
      <c r="F36" s="41"/>
      <c r="G36" s="747">
        <f>G37+G44+G51</f>
        <v>654000</v>
      </c>
    </row>
    <row r="37" spans="1:7" ht="39.75" customHeight="1" x14ac:dyDescent="0.45">
      <c r="A37" s="763"/>
      <c r="B37" s="766" t="s">
        <v>1312</v>
      </c>
      <c r="C37" s="185"/>
      <c r="D37" s="185"/>
      <c r="E37" s="185"/>
      <c r="F37" s="185"/>
      <c r="G37" s="747">
        <f>SUM(G38:G43)</f>
        <v>468720</v>
      </c>
    </row>
    <row r="38" spans="1:7" ht="17.25" customHeight="1" x14ac:dyDescent="0.45">
      <c r="A38" s="763"/>
      <c r="B38" s="752" t="s">
        <v>1313</v>
      </c>
      <c r="C38" s="41"/>
      <c r="D38" s="41">
        <v>5</v>
      </c>
      <c r="E38" s="41">
        <v>84</v>
      </c>
      <c r="F38" s="41">
        <v>240</v>
      </c>
      <c r="G38" s="181">
        <f t="shared" ref="G38:G43" si="0">F38*E38*D38</f>
        <v>100800</v>
      </c>
    </row>
    <row r="39" spans="1:7" ht="17.25" customHeight="1" x14ac:dyDescent="0.45">
      <c r="A39" s="763"/>
      <c r="B39" s="752" t="s">
        <v>1314</v>
      </c>
      <c r="C39" s="41"/>
      <c r="D39" s="41">
        <v>2</v>
      </c>
      <c r="E39" s="41">
        <v>84</v>
      </c>
      <c r="F39" s="41">
        <v>240</v>
      </c>
      <c r="G39" s="181">
        <f t="shared" si="0"/>
        <v>40320</v>
      </c>
    </row>
    <row r="40" spans="1:7" ht="17.25" customHeight="1" x14ac:dyDescent="0.45">
      <c r="A40" s="763"/>
      <c r="B40" s="752" t="s">
        <v>1315</v>
      </c>
      <c r="C40" s="41"/>
      <c r="D40" s="41">
        <v>5</v>
      </c>
      <c r="E40" s="41">
        <v>42</v>
      </c>
      <c r="F40" s="41">
        <v>800</v>
      </c>
      <c r="G40" s="181">
        <f t="shared" si="0"/>
        <v>168000</v>
      </c>
    </row>
    <row r="41" spans="1:7" ht="17.25" customHeight="1" x14ac:dyDescent="0.45">
      <c r="A41" s="763"/>
      <c r="B41" s="752" t="s">
        <v>1316</v>
      </c>
      <c r="C41" s="41"/>
      <c r="D41" s="41">
        <v>2</v>
      </c>
      <c r="E41" s="41">
        <v>42</v>
      </c>
      <c r="F41" s="41">
        <v>800</v>
      </c>
      <c r="G41" s="181">
        <f t="shared" si="0"/>
        <v>67200</v>
      </c>
    </row>
    <row r="42" spans="1:7" ht="17.25" customHeight="1" x14ac:dyDescent="0.45">
      <c r="A42" s="763"/>
      <c r="B42" s="752" t="s">
        <v>1317</v>
      </c>
      <c r="C42" s="41"/>
      <c r="D42" s="41">
        <v>2</v>
      </c>
      <c r="E42" s="41">
        <v>84</v>
      </c>
      <c r="F42" s="41">
        <v>300</v>
      </c>
      <c r="G42" s="181">
        <f t="shared" si="0"/>
        <v>50400</v>
      </c>
    </row>
    <row r="43" spans="1:7" ht="17.25" customHeight="1" x14ac:dyDescent="0.45">
      <c r="A43" s="763"/>
      <c r="B43" s="752" t="s">
        <v>1318</v>
      </c>
      <c r="C43" s="41"/>
      <c r="D43" s="41">
        <v>7</v>
      </c>
      <c r="E43" s="41">
        <v>24</v>
      </c>
      <c r="F43" s="41">
        <v>250</v>
      </c>
      <c r="G43" s="181">
        <f t="shared" si="0"/>
        <v>42000</v>
      </c>
    </row>
    <row r="44" spans="1:7" ht="33.75" customHeight="1" x14ac:dyDescent="0.45">
      <c r="A44" s="763"/>
      <c r="B44" s="767" t="s">
        <v>1319</v>
      </c>
      <c r="C44" s="185"/>
      <c r="D44" s="185"/>
      <c r="E44" s="185"/>
      <c r="F44" s="185"/>
      <c r="G44" s="747">
        <f>SUM(G45:G50)</f>
        <v>181800</v>
      </c>
    </row>
    <row r="45" spans="1:7" ht="17.25" customHeight="1" x14ac:dyDescent="0.45">
      <c r="A45" s="763"/>
      <c r="B45" s="752" t="s">
        <v>1320</v>
      </c>
      <c r="C45" s="41"/>
      <c r="D45" s="41">
        <v>2</v>
      </c>
      <c r="E45" s="41">
        <v>60</v>
      </c>
      <c r="F45" s="41">
        <v>600</v>
      </c>
      <c r="G45" s="181">
        <f>F45*E45*D45</f>
        <v>72000</v>
      </c>
    </row>
    <row r="46" spans="1:7" ht="17.25" customHeight="1" x14ac:dyDescent="0.45">
      <c r="A46" s="763"/>
      <c r="B46" s="752" t="s">
        <v>1321</v>
      </c>
      <c r="C46" s="41"/>
      <c r="D46" s="41"/>
      <c r="E46" s="41">
        <v>30</v>
      </c>
      <c r="F46" s="181">
        <v>1200</v>
      </c>
      <c r="G46" s="181">
        <f>F46*E46</f>
        <v>36000</v>
      </c>
    </row>
    <row r="47" spans="1:7" ht="17.25" customHeight="1" x14ac:dyDescent="0.45">
      <c r="A47" s="763"/>
      <c r="B47" s="752" t="s">
        <v>1322</v>
      </c>
      <c r="C47" s="41"/>
      <c r="D47" s="41"/>
      <c r="E47" s="41">
        <v>2</v>
      </c>
      <c r="F47" s="181">
        <v>13400</v>
      </c>
      <c r="G47" s="181">
        <f>F47*E47</f>
        <v>26800</v>
      </c>
    </row>
    <row r="48" spans="1:7" ht="17.25" customHeight="1" x14ac:dyDescent="0.45">
      <c r="A48" s="763"/>
      <c r="B48" s="752" t="s">
        <v>1323</v>
      </c>
      <c r="C48" s="41"/>
      <c r="D48" s="41"/>
      <c r="E48" s="41">
        <v>2</v>
      </c>
      <c r="F48" s="181">
        <v>7000</v>
      </c>
      <c r="G48" s="181">
        <f>F48*E48</f>
        <v>14000</v>
      </c>
    </row>
    <row r="49" spans="1:7" ht="17.25" customHeight="1" x14ac:dyDescent="0.45">
      <c r="A49" s="763"/>
      <c r="B49" s="752" t="s">
        <v>1324</v>
      </c>
      <c r="C49" s="41"/>
      <c r="D49" s="41">
        <v>1</v>
      </c>
      <c r="E49" s="41">
        <v>5</v>
      </c>
      <c r="F49" s="41">
        <v>600</v>
      </c>
      <c r="G49" s="181">
        <f>F49*E49*D49</f>
        <v>3000</v>
      </c>
    </row>
    <row r="50" spans="1:7" ht="17.25" customHeight="1" x14ac:dyDescent="0.45">
      <c r="A50" s="763"/>
      <c r="B50" s="752" t="s">
        <v>1325</v>
      </c>
      <c r="C50" s="41"/>
      <c r="D50" s="41">
        <v>5</v>
      </c>
      <c r="E50" s="41">
        <v>5</v>
      </c>
      <c r="F50" s="181">
        <v>1200</v>
      </c>
      <c r="G50" s="181">
        <f>F50*E50*D50</f>
        <v>30000</v>
      </c>
    </row>
    <row r="51" spans="1:7" ht="17.25" customHeight="1" x14ac:dyDescent="0.45">
      <c r="A51" s="148"/>
      <c r="B51" s="632" t="s">
        <v>1326</v>
      </c>
      <c r="C51" s="185"/>
      <c r="D51" s="185"/>
      <c r="E51" s="185"/>
      <c r="F51" s="185"/>
      <c r="G51" s="180">
        <v>3480</v>
      </c>
    </row>
    <row r="52" spans="1:7" ht="17.25" customHeight="1" x14ac:dyDescent="0.45">
      <c r="B52" s="754"/>
    </row>
    <row r="53" spans="1:7" s="497" customFormat="1" x14ac:dyDescent="0.45">
      <c r="B53" s="553" t="s">
        <v>253</v>
      </c>
      <c r="C53" s="1"/>
      <c r="D53" s="1"/>
      <c r="E53" s="1"/>
      <c r="F53" s="1"/>
      <c r="G53" s="1"/>
    </row>
    <row r="54" spans="1:7" s="497" customFormat="1" x14ac:dyDescent="0.45"/>
  </sheetData>
  <mergeCells count="3">
    <mergeCell ref="G2:G3"/>
    <mergeCell ref="A2:A4"/>
    <mergeCell ref="B2:B4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6"/>
  <sheetViews>
    <sheetView view="pageBreakPreview" zoomScale="110" zoomScaleNormal="100" zoomScaleSheetLayoutView="110" workbookViewId="0">
      <selection activeCell="B20" sqref="B20"/>
    </sheetView>
  </sheetViews>
  <sheetFormatPr defaultRowHeight="18.75" x14ac:dyDescent="0.45"/>
  <cols>
    <col min="1" max="1" width="5.75" style="1" customWidth="1"/>
    <col min="2" max="2" width="67.75" style="1" customWidth="1"/>
    <col min="3" max="6" width="8.5" style="1" hidden="1" customWidth="1"/>
    <col min="7" max="7" width="16.125" style="1" customWidth="1"/>
    <col min="8" max="16384" width="9" style="1"/>
  </cols>
  <sheetData>
    <row r="1" spans="1:7" s="617" customFormat="1" ht="17.25" customHeight="1" x14ac:dyDescent="0.25">
      <c r="A1" s="824" t="s">
        <v>189</v>
      </c>
      <c r="B1" s="838" t="s">
        <v>1327</v>
      </c>
      <c r="C1" s="895" t="s">
        <v>1337</v>
      </c>
      <c r="D1" s="896"/>
      <c r="E1" s="896"/>
      <c r="F1" s="896"/>
      <c r="G1" s="897"/>
    </row>
    <row r="2" spans="1:7" s="617" customFormat="1" ht="17.25" customHeight="1" x14ac:dyDescent="0.25">
      <c r="A2" s="893"/>
      <c r="B2" s="839"/>
      <c r="C2" s="870"/>
      <c r="D2" s="898"/>
      <c r="E2" s="898"/>
      <c r="F2" s="898"/>
      <c r="G2" s="899"/>
    </row>
    <row r="3" spans="1:7" s="617" customFormat="1" ht="15.75" customHeight="1" x14ac:dyDescent="0.25">
      <c r="A3" s="893"/>
      <c r="B3" s="839"/>
      <c r="C3" s="870"/>
      <c r="D3" s="898"/>
      <c r="E3" s="898"/>
      <c r="F3" s="898"/>
      <c r="G3" s="899"/>
    </row>
    <row r="4" spans="1:7" s="617" customFormat="1" ht="2.25" hidden="1" customHeight="1" x14ac:dyDescent="0.25">
      <c r="A4" s="893"/>
      <c r="B4" s="839"/>
      <c r="C4" s="870"/>
      <c r="D4" s="898"/>
      <c r="E4" s="898"/>
      <c r="F4" s="898"/>
      <c r="G4" s="899"/>
    </row>
    <row r="5" spans="1:7" s="617" customFormat="1" ht="20.25" customHeight="1" x14ac:dyDescent="0.25">
      <c r="A5" s="893"/>
      <c r="B5" s="892"/>
      <c r="C5" s="900"/>
      <c r="D5" s="901"/>
      <c r="E5" s="901"/>
      <c r="F5" s="901"/>
      <c r="G5" s="902"/>
    </row>
    <row r="6" spans="1:7" s="620" customFormat="1" ht="16.5" thickBot="1" x14ac:dyDescent="0.3">
      <c r="A6" s="825"/>
      <c r="B6" s="618" t="s">
        <v>2</v>
      </c>
      <c r="C6" s="619"/>
      <c r="D6" s="619"/>
      <c r="E6" s="619"/>
      <c r="F6" s="619"/>
      <c r="G6" s="746">
        <f>G7+G15+G38</f>
        <v>4150300</v>
      </c>
    </row>
    <row r="7" spans="1:7" ht="17.25" customHeight="1" thickTop="1" x14ac:dyDescent="0.45">
      <c r="A7" s="769">
        <v>1</v>
      </c>
      <c r="B7" s="621" t="s">
        <v>338</v>
      </c>
      <c r="C7" s="179"/>
      <c r="D7" s="179"/>
      <c r="E7" s="179"/>
      <c r="F7" s="179"/>
      <c r="G7" s="747">
        <f>G8+G12</f>
        <v>1086000</v>
      </c>
    </row>
    <row r="8" spans="1:7" ht="17.25" customHeight="1" x14ac:dyDescent="0.45">
      <c r="A8" s="763"/>
      <c r="B8" s="622" t="s">
        <v>195</v>
      </c>
      <c r="C8" s="179"/>
      <c r="D8" s="179"/>
      <c r="E8" s="179"/>
      <c r="F8" s="179"/>
      <c r="G8" s="747">
        <f>SUM(G9:G11)</f>
        <v>855000</v>
      </c>
    </row>
    <row r="9" spans="1:7" ht="45" customHeight="1" x14ac:dyDescent="0.45">
      <c r="A9" s="763"/>
      <c r="B9" s="628" t="s">
        <v>1332</v>
      </c>
      <c r="C9" s="195">
        <v>1</v>
      </c>
      <c r="D9" s="195">
        <v>7</v>
      </c>
      <c r="E9" s="195">
        <v>6</v>
      </c>
      <c r="F9" s="640">
        <v>60000</v>
      </c>
      <c r="G9" s="749">
        <f>F9*E9*C9</f>
        <v>360000</v>
      </c>
    </row>
    <row r="10" spans="1:7" ht="20.25" customHeight="1" x14ac:dyDescent="0.45">
      <c r="A10" s="763"/>
      <c r="B10" s="633" t="s">
        <v>1334</v>
      </c>
      <c r="C10" s="195">
        <v>1</v>
      </c>
      <c r="D10" s="195">
        <v>7</v>
      </c>
      <c r="E10" s="195">
        <v>5</v>
      </c>
      <c r="F10" s="181">
        <v>50000</v>
      </c>
      <c r="G10" s="750">
        <f>F10*E10*C10</f>
        <v>250000</v>
      </c>
    </row>
    <row r="11" spans="1:7" ht="21.75" customHeight="1" x14ac:dyDescent="0.45">
      <c r="A11" s="763"/>
      <c r="B11" s="633" t="s">
        <v>1333</v>
      </c>
      <c r="C11" s="195">
        <v>1</v>
      </c>
      <c r="D11" s="195">
        <v>5</v>
      </c>
      <c r="E11" s="195">
        <v>7</v>
      </c>
      <c r="F11" s="181">
        <v>35000</v>
      </c>
      <c r="G11" s="750">
        <f>F11*E11*C11</f>
        <v>245000</v>
      </c>
    </row>
    <row r="12" spans="1:7" ht="17.25" customHeight="1" x14ac:dyDescent="0.45">
      <c r="A12" s="763"/>
      <c r="B12" s="632" t="s">
        <v>200</v>
      </c>
      <c r="C12" s="748"/>
      <c r="D12" s="748"/>
      <c r="E12" s="748"/>
      <c r="F12" s="751"/>
      <c r="G12" s="747">
        <f>SUM(G13:G14)</f>
        <v>231000</v>
      </c>
    </row>
    <row r="13" spans="1:7" ht="17.25" customHeight="1" x14ac:dyDescent="0.45">
      <c r="A13" s="763"/>
      <c r="B13" s="633" t="s">
        <v>1335</v>
      </c>
      <c r="C13" s="195">
        <v>2</v>
      </c>
      <c r="D13" s="748">
        <v>2</v>
      </c>
      <c r="E13" s="195">
        <v>4</v>
      </c>
      <c r="F13" s="181">
        <v>12000</v>
      </c>
      <c r="G13" s="750">
        <f>F13*E13*C13</f>
        <v>96000</v>
      </c>
    </row>
    <row r="14" spans="1:7" ht="17.25" customHeight="1" x14ac:dyDescent="0.45">
      <c r="A14" s="763"/>
      <c r="B14" s="633" t="s">
        <v>1336</v>
      </c>
      <c r="C14" s="195">
        <v>1</v>
      </c>
      <c r="D14" s="748">
        <v>2</v>
      </c>
      <c r="E14" s="195">
        <v>9</v>
      </c>
      <c r="F14" s="181">
        <v>15000</v>
      </c>
      <c r="G14" s="750">
        <f>F14*E14*C14</f>
        <v>135000</v>
      </c>
    </row>
    <row r="15" spans="1:7" ht="17.25" customHeight="1" x14ac:dyDescent="0.45">
      <c r="A15" s="765">
        <v>2</v>
      </c>
      <c r="B15" s="632" t="s">
        <v>201</v>
      </c>
      <c r="C15" s="41"/>
      <c r="D15" s="179"/>
      <c r="E15" s="179"/>
      <c r="F15" s="179"/>
      <c r="G15" s="747">
        <f>G16+G17+G21+G22+G23+G24+G29+G32+G33</f>
        <v>2410300</v>
      </c>
    </row>
    <row r="16" spans="1:7" ht="17.25" customHeight="1" x14ac:dyDescent="0.45">
      <c r="A16" s="763"/>
      <c r="B16" s="632" t="s">
        <v>1290</v>
      </c>
      <c r="C16" s="185"/>
      <c r="D16" s="185"/>
      <c r="E16" s="185"/>
      <c r="F16" s="185"/>
      <c r="G16" s="180">
        <v>150000</v>
      </c>
    </row>
    <row r="17" spans="1:7" ht="38.25" customHeight="1" x14ac:dyDescent="0.45">
      <c r="A17" s="763"/>
      <c r="B17" s="767" t="s">
        <v>1291</v>
      </c>
      <c r="C17" s="185"/>
      <c r="D17" s="185"/>
      <c r="E17" s="185"/>
      <c r="F17" s="185"/>
      <c r="G17" s="747">
        <f>SUM(G18:G20)</f>
        <v>955200</v>
      </c>
    </row>
    <row r="18" spans="1:7" ht="17.25" customHeight="1" x14ac:dyDescent="0.45">
      <c r="A18" s="763"/>
      <c r="B18" s="752" t="s">
        <v>1292</v>
      </c>
      <c r="C18" s="225"/>
      <c r="D18" s="225">
        <v>4</v>
      </c>
      <c r="E18" s="225">
        <v>120</v>
      </c>
      <c r="F18" s="225">
        <v>240</v>
      </c>
      <c r="G18" s="181">
        <f>F18*E18*D18</f>
        <v>115200</v>
      </c>
    </row>
    <row r="19" spans="1:7" ht="17.25" customHeight="1" x14ac:dyDescent="0.45">
      <c r="A19" s="763"/>
      <c r="B19" s="633" t="s">
        <v>1293</v>
      </c>
      <c r="C19" s="225"/>
      <c r="D19" s="225">
        <v>4</v>
      </c>
      <c r="E19" s="225">
        <v>60</v>
      </c>
      <c r="F19" s="636">
        <v>1000</v>
      </c>
      <c r="G19" s="181">
        <f>F19*E19*D19</f>
        <v>240000</v>
      </c>
    </row>
    <row r="20" spans="1:7" ht="17.25" customHeight="1" x14ac:dyDescent="0.45">
      <c r="A20" s="763"/>
      <c r="B20" s="633" t="s">
        <v>1294</v>
      </c>
      <c r="C20" s="225"/>
      <c r="D20" s="225">
        <v>2</v>
      </c>
      <c r="E20" s="225">
        <v>120</v>
      </c>
      <c r="F20" s="636">
        <v>2500</v>
      </c>
      <c r="G20" s="181">
        <f>F20*E20*D20</f>
        <v>600000</v>
      </c>
    </row>
    <row r="21" spans="1:7" ht="17.25" customHeight="1" x14ac:dyDescent="0.45">
      <c r="A21" s="763"/>
      <c r="B21" s="632" t="s">
        <v>1295</v>
      </c>
      <c r="C21" s="185"/>
      <c r="D21" s="185">
        <v>1</v>
      </c>
      <c r="E21" s="185"/>
      <c r="F21" s="185"/>
      <c r="G21" s="180">
        <v>200000</v>
      </c>
    </row>
    <row r="22" spans="1:7" ht="17.25" customHeight="1" x14ac:dyDescent="0.45">
      <c r="A22" s="763"/>
      <c r="B22" s="632" t="s">
        <v>1296</v>
      </c>
      <c r="C22" s="185"/>
      <c r="D22" s="185">
        <v>3</v>
      </c>
      <c r="E22" s="185"/>
      <c r="F22" s="185"/>
      <c r="G22" s="180">
        <v>35000</v>
      </c>
    </row>
    <row r="23" spans="1:7" ht="17.25" customHeight="1" x14ac:dyDescent="0.45">
      <c r="A23" s="763"/>
      <c r="B23" s="632" t="s">
        <v>1297</v>
      </c>
      <c r="C23" s="185"/>
      <c r="D23" s="185"/>
      <c r="E23" s="185">
        <v>300</v>
      </c>
      <c r="F23" s="185">
        <v>100</v>
      </c>
      <c r="G23" s="180">
        <f>F23*E23</f>
        <v>30000</v>
      </c>
    </row>
    <row r="24" spans="1:7" ht="17.25" customHeight="1" x14ac:dyDescent="0.45">
      <c r="A24" s="763"/>
      <c r="B24" s="632" t="s">
        <v>1298</v>
      </c>
      <c r="C24" s="185"/>
      <c r="D24" s="185"/>
      <c r="E24" s="185"/>
      <c r="F24" s="185"/>
      <c r="G24" s="747">
        <f>SUM(G25:G28)</f>
        <v>37100</v>
      </c>
    </row>
    <row r="25" spans="1:7" ht="17.25" customHeight="1" x14ac:dyDescent="0.45">
      <c r="A25" s="763"/>
      <c r="B25" s="753" t="s">
        <v>1299</v>
      </c>
      <c r="C25" s="41"/>
      <c r="D25" s="41">
        <v>1</v>
      </c>
      <c r="E25" s="41">
        <v>6</v>
      </c>
      <c r="F25" s="41">
        <v>600</v>
      </c>
      <c r="G25" s="181">
        <f>F25*E25*D25</f>
        <v>3600</v>
      </c>
    </row>
    <row r="26" spans="1:7" ht="17.25" customHeight="1" x14ac:dyDescent="0.45">
      <c r="A26" s="763"/>
      <c r="B26" s="752" t="s">
        <v>1300</v>
      </c>
      <c r="C26" s="41"/>
      <c r="D26" s="41"/>
      <c r="E26" s="41">
        <v>50</v>
      </c>
      <c r="F26" s="41">
        <v>500</v>
      </c>
      <c r="G26" s="181">
        <f>F26*E26</f>
        <v>25000</v>
      </c>
    </row>
    <row r="27" spans="1:7" ht="17.25" customHeight="1" x14ac:dyDescent="0.45">
      <c r="A27" s="763"/>
      <c r="B27" s="752" t="s">
        <v>1301</v>
      </c>
      <c r="C27" s="41"/>
      <c r="D27" s="41"/>
      <c r="E27" s="41">
        <v>50</v>
      </c>
      <c r="F27" s="41">
        <v>100</v>
      </c>
      <c r="G27" s="181">
        <f>F27*E27</f>
        <v>5000</v>
      </c>
    </row>
    <row r="28" spans="1:7" ht="17.25" customHeight="1" x14ac:dyDescent="0.45">
      <c r="A28" s="763"/>
      <c r="B28" s="752" t="s">
        <v>1302</v>
      </c>
      <c r="C28" s="41"/>
      <c r="D28" s="41"/>
      <c r="E28" s="41">
        <v>50</v>
      </c>
      <c r="F28" s="41">
        <v>70</v>
      </c>
      <c r="G28" s="41">
        <f>F28*E28</f>
        <v>3500</v>
      </c>
    </row>
    <row r="29" spans="1:7" ht="17.25" customHeight="1" x14ac:dyDescent="0.45">
      <c r="A29" s="763"/>
      <c r="B29" s="632" t="s">
        <v>1303</v>
      </c>
      <c r="C29" s="185"/>
      <c r="D29" s="185"/>
      <c r="E29" s="185"/>
      <c r="F29" s="185"/>
      <c r="G29" s="747">
        <f>SUM(G30:G31)</f>
        <v>670000</v>
      </c>
    </row>
    <row r="30" spans="1:7" ht="17.25" customHeight="1" x14ac:dyDescent="0.45">
      <c r="A30" s="763"/>
      <c r="B30" s="752" t="s">
        <v>1304</v>
      </c>
      <c r="C30" s="41"/>
      <c r="D30" s="41">
        <v>2</v>
      </c>
      <c r="E30" s="41">
        <v>500</v>
      </c>
      <c r="F30" s="41">
        <v>600</v>
      </c>
      <c r="G30" s="181">
        <f>F30*E30*D30</f>
        <v>600000</v>
      </c>
    </row>
    <row r="31" spans="1:7" ht="17.25" customHeight="1" x14ac:dyDescent="0.45">
      <c r="A31" s="763"/>
      <c r="B31" s="752" t="s">
        <v>1305</v>
      </c>
      <c r="C31" s="41"/>
      <c r="D31" s="41"/>
      <c r="E31" s="181">
        <v>1000</v>
      </c>
      <c r="F31" s="41">
        <v>70</v>
      </c>
      <c r="G31" s="181">
        <f>F31*E31</f>
        <v>70000</v>
      </c>
    </row>
    <row r="32" spans="1:7" ht="17.25" customHeight="1" x14ac:dyDescent="0.45">
      <c r="A32" s="763"/>
      <c r="B32" s="632" t="s">
        <v>1306</v>
      </c>
      <c r="C32" s="185"/>
      <c r="D32" s="185"/>
      <c r="E32" s="185"/>
      <c r="F32" s="185"/>
      <c r="G32" s="181">
        <v>300000</v>
      </c>
    </row>
    <row r="33" spans="1:7" ht="17.25" customHeight="1" x14ac:dyDescent="0.45">
      <c r="A33" s="763"/>
      <c r="B33" s="632" t="s">
        <v>1307</v>
      </c>
      <c r="C33" s="185"/>
      <c r="D33" s="185"/>
      <c r="E33" s="185"/>
      <c r="F33" s="185"/>
      <c r="G33" s="747">
        <f>SUM(G34:G37)</f>
        <v>33000</v>
      </c>
    </row>
    <row r="34" spans="1:7" ht="17.25" customHeight="1" x14ac:dyDescent="0.45">
      <c r="A34" s="763"/>
      <c r="B34" s="752" t="s">
        <v>1308</v>
      </c>
      <c r="C34" s="41"/>
      <c r="D34" s="41"/>
      <c r="E34" s="41">
        <v>10</v>
      </c>
      <c r="F34" s="41">
        <v>500</v>
      </c>
      <c r="G34" s="181">
        <f>F34*E34</f>
        <v>5000</v>
      </c>
    </row>
    <row r="35" spans="1:7" ht="17.25" customHeight="1" x14ac:dyDescent="0.45">
      <c r="A35" s="763"/>
      <c r="B35" s="752" t="s">
        <v>1309</v>
      </c>
      <c r="C35" s="41"/>
      <c r="D35" s="41"/>
      <c r="E35" s="41">
        <v>10</v>
      </c>
      <c r="F35" s="41">
        <v>500</v>
      </c>
      <c r="G35" s="181">
        <f>F35*E35</f>
        <v>5000</v>
      </c>
    </row>
    <row r="36" spans="1:7" ht="17.25" customHeight="1" x14ac:dyDescent="0.45">
      <c r="A36" s="763"/>
      <c r="B36" s="752" t="s">
        <v>1310</v>
      </c>
      <c r="C36" s="41"/>
      <c r="D36" s="41"/>
      <c r="E36" s="41">
        <v>10</v>
      </c>
      <c r="F36" s="41">
        <v>800</v>
      </c>
      <c r="G36" s="181">
        <f>F36*E36</f>
        <v>8000</v>
      </c>
    </row>
    <row r="37" spans="1:7" ht="17.25" customHeight="1" x14ac:dyDescent="0.45">
      <c r="A37" s="763"/>
      <c r="B37" s="752" t="s">
        <v>1311</v>
      </c>
      <c r="C37" s="41"/>
      <c r="D37" s="41"/>
      <c r="E37" s="41">
        <v>15</v>
      </c>
      <c r="F37" s="181">
        <v>1000</v>
      </c>
      <c r="G37" s="181">
        <f>F37*E37</f>
        <v>15000</v>
      </c>
    </row>
    <row r="38" spans="1:7" ht="17.25" customHeight="1" x14ac:dyDescent="0.45">
      <c r="A38" s="763"/>
      <c r="B38" s="632" t="s">
        <v>294</v>
      </c>
      <c r="C38" s="41"/>
      <c r="D38" s="41"/>
      <c r="E38" s="41"/>
      <c r="F38" s="41"/>
      <c r="G38" s="747">
        <f>G39+G46+G53</f>
        <v>654000</v>
      </c>
    </row>
    <row r="39" spans="1:7" ht="36" customHeight="1" x14ac:dyDescent="0.45">
      <c r="A39" s="763"/>
      <c r="B39" s="767" t="s">
        <v>1312</v>
      </c>
      <c r="C39" s="185"/>
      <c r="D39" s="185"/>
      <c r="E39" s="185"/>
      <c r="F39" s="185"/>
      <c r="G39" s="747">
        <f>SUM(G40:G45)</f>
        <v>468720</v>
      </c>
    </row>
    <row r="40" spans="1:7" ht="17.25" customHeight="1" x14ac:dyDescent="0.45">
      <c r="A40" s="763"/>
      <c r="B40" s="752" t="s">
        <v>1313</v>
      </c>
      <c r="C40" s="41"/>
      <c r="D40" s="41">
        <v>5</v>
      </c>
      <c r="E40" s="41">
        <v>84</v>
      </c>
      <c r="F40" s="41">
        <v>240</v>
      </c>
      <c r="G40" s="181">
        <f t="shared" ref="G40:G45" si="0">F40*E40*D40</f>
        <v>100800</v>
      </c>
    </row>
    <row r="41" spans="1:7" ht="17.25" customHeight="1" x14ac:dyDescent="0.45">
      <c r="A41" s="763"/>
      <c r="B41" s="752" t="s">
        <v>1314</v>
      </c>
      <c r="C41" s="41"/>
      <c r="D41" s="41">
        <v>2</v>
      </c>
      <c r="E41" s="41">
        <v>84</v>
      </c>
      <c r="F41" s="41">
        <v>240</v>
      </c>
      <c r="G41" s="181">
        <f t="shared" si="0"/>
        <v>40320</v>
      </c>
    </row>
    <row r="42" spans="1:7" ht="17.25" customHeight="1" x14ac:dyDescent="0.45">
      <c r="A42" s="763"/>
      <c r="B42" s="752" t="s">
        <v>1315</v>
      </c>
      <c r="C42" s="41"/>
      <c r="D42" s="41">
        <v>5</v>
      </c>
      <c r="E42" s="41">
        <v>42</v>
      </c>
      <c r="F42" s="41">
        <v>800</v>
      </c>
      <c r="G42" s="181">
        <f t="shared" si="0"/>
        <v>168000</v>
      </c>
    </row>
    <row r="43" spans="1:7" ht="17.25" customHeight="1" x14ac:dyDescent="0.45">
      <c r="A43" s="763"/>
      <c r="B43" s="752" t="s">
        <v>1316</v>
      </c>
      <c r="C43" s="41"/>
      <c r="D43" s="41">
        <v>2</v>
      </c>
      <c r="E43" s="41">
        <v>42</v>
      </c>
      <c r="F43" s="41">
        <v>800</v>
      </c>
      <c r="G43" s="181">
        <f t="shared" si="0"/>
        <v>67200</v>
      </c>
    </row>
    <row r="44" spans="1:7" ht="17.25" customHeight="1" x14ac:dyDescent="0.45">
      <c r="A44" s="763"/>
      <c r="B44" s="752" t="s">
        <v>1317</v>
      </c>
      <c r="C44" s="41"/>
      <c r="D44" s="41">
        <v>2</v>
      </c>
      <c r="E44" s="41">
        <v>84</v>
      </c>
      <c r="F44" s="41">
        <v>300</v>
      </c>
      <c r="G44" s="181">
        <f t="shared" si="0"/>
        <v>50400</v>
      </c>
    </row>
    <row r="45" spans="1:7" ht="17.25" customHeight="1" x14ac:dyDescent="0.45">
      <c r="A45" s="763"/>
      <c r="B45" s="752" t="s">
        <v>1318</v>
      </c>
      <c r="C45" s="41"/>
      <c r="D45" s="41">
        <v>7</v>
      </c>
      <c r="E45" s="41">
        <v>24</v>
      </c>
      <c r="F45" s="41">
        <v>250</v>
      </c>
      <c r="G45" s="181">
        <f t="shared" si="0"/>
        <v>42000</v>
      </c>
    </row>
    <row r="46" spans="1:7" ht="17.25" customHeight="1" x14ac:dyDescent="0.45">
      <c r="A46" s="763"/>
      <c r="B46" s="632" t="s">
        <v>1319</v>
      </c>
      <c r="C46" s="185"/>
      <c r="D46" s="185"/>
      <c r="E46" s="185"/>
      <c r="F46" s="185"/>
      <c r="G46" s="747">
        <f>SUM(G47:G52)</f>
        <v>181800</v>
      </c>
    </row>
    <row r="47" spans="1:7" ht="17.25" customHeight="1" x14ac:dyDescent="0.45">
      <c r="A47" s="763"/>
      <c r="B47" s="752" t="s">
        <v>1320</v>
      </c>
      <c r="C47" s="41"/>
      <c r="D47" s="41">
        <v>2</v>
      </c>
      <c r="E47" s="41">
        <v>60</v>
      </c>
      <c r="F47" s="41">
        <v>600</v>
      </c>
      <c r="G47" s="181">
        <f>F47*E47*D47</f>
        <v>72000</v>
      </c>
    </row>
    <row r="48" spans="1:7" ht="17.25" customHeight="1" x14ac:dyDescent="0.45">
      <c r="A48" s="763"/>
      <c r="B48" s="752" t="s">
        <v>1321</v>
      </c>
      <c r="C48" s="41"/>
      <c r="D48" s="41"/>
      <c r="E48" s="41">
        <v>30</v>
      </c>
      <c r="F48" s="181">
        <v>1200</v>
      </c>
      <c r="G48" s="181">
        <f>F48*E48</f>
        <v>36000</v>
      </c>
    </row>
    <row r="49" spans="1:7" ht="17.25" customHeight="1" x14ac:dyDescent="0.45">
      <c r="A49" s="763"/>
      <c r="B49" s="752" t="s">
        <v>1322</v>
      </c>
      <c r="C49" s="41"/>
      <c r="D49" s="41"/>
      <c r="E49" s="41">
        <v>2</v>
      </c>
      <c r="F49" s="181">
        <v>13400</v>
      </c>
      <c r="G49" s="181">
        <f>F49*E49</f>
        <v>26800</v>
      </c>
    </row>
    <row r="50" spans="1:7" ht="17.25" customHeight="1" x14ac:dyDescent="0.45">
      <c r="A50" s="763"/>
      <c r="B50" s="752" t="s">
        <v>1323</v>
      </c>
      <c r="C50" s="41"/>
      <c r="D50" s="41"/>
      <c r="E50" s="41">
        <v>2</v>
      </c>
      <c r="F50" s="181">
        <v>7000</v>
      </c>
      <c r="G50" s="181">
        <f>F50*E50</f>
        <v>14000</v>
      </c>
    </row>
    <row r="51" spans="1:7" ht="17.25" customHeight="1" x14ac:dyDescent="0.45">
      <c r="A51" s="763"/>
      <c r="B51" s="752" t="s">
        <v>1324</v>
      </c>
      <c r="C51" s="41"/>
      <c r="D51" s="41">
        <v>1</v>
      </c>
      <c r="E51" s="41">
        <v>5</v>
      </c>
      <c r="F51" s="41">
        <v>600</v>
      </c>
      <c r="G51" s="181">
        <f>F51*E51*D51</f>
        <v>3000</v>
      </c>
    </row>
    <row r="52" spans="1:7" ht="17.25" customHeight="1" x14ac:dyDescent="0.45">
      <c r="A52" s="763"/>
      <c r="B52" s="752" t="s">
        <v>1325</v>
      </c>
      <c r="C52" s="41"/>
      <c r="D52" s="41">
        <v>5</v>
      </c>
      <c r="E52" s="41">
        <v>5</v>
      </c>
      <c r="F52" s="181">
        <v>1200</v>
      </c>
      <c r="G52" s="181">
        <f>F52*E52*D52</f>
        <v>30000</v>
      </c>
    </row>
    <row r="53" spans="1:7" ht="17.25" customHeight="1" x14ac:dyDescent="0.45">
      <c r="A53" s="148"/>
      <c r="B53" s="632" t="s">
        <v>1326</v>
      </c>
      <c r="C53" s="185"/>
      <c r="D53" s="185"/>
      <c r="E53" s="185"/>
      <c r="F53" s="185"/>
      <c r="G53" s="180">
        <v>3480</v>
      </c>
    </row>
    <row r="54" spans="1:7" ht="17.25" customHeight="1" x14ac:dyDescent="0.45">
      <c r="B54" s="754"/>
    </row>
    <row r="55" spans="1:7" s="497" customFormat="1" x14ac:dyDescent="0.45">
      <c r="B55" s="553" t="s">
        <v>253</v>
      </c>
      <c r="C55" s="1"/>
      <c r="D55" s="1"/>
      <c r="E55" s="1"/>
      <c r="F55" s="1"/>
      <c r="G55" s="1"/>
    </row>
    <row r="56" spans="1:7" s="497" customFormat="1" x14ac:dyDescent="0.45"/>
  </sheetData>
  <mergeCells count="3">
    <mergeCell ref="C1:G5"/>
    <mergeCell ref="A1:A6"/>
    <mergeCell ref="B1:B5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30"/>
  <sheetViews>
    <sheetView view="pageBreakPreview" zoomScale="160" zoomScaleNormal="100" zoomScaleSheetLayoutView="160" workbookViewId="0">
      <selection activeCell="B17" sqref="B17"/>
    </sheetView>
  </sheetViews>
  <sheetFormatPr defaultColWidth="9" defaultRowHeight="21.75" x14ac:dyDescent="0.5"/>
  <cols>
    <col min="1" max="1" width="6.875" style="51" customWidth="1"/>
    <col min="2" max="2" width="77.75" style="43" customWidth="1"/>
    <col min="3" max="3" width="14.875" style="146" customWidth="1"/>
    <col min="4" max="4" width="9" style="43"/>
    <col min="5" max="5" width="12.25" style="43" bestFit="1" customWidth="1"/>
    <col min="6" max="256" width="9" style="43"/>
    <col min="257" max="257" width="5.375" style="43" customWidth="1"/>
    <col min="258" max="258" width="88" style="43" customWidth="1"/>
    <col min="259" max="259" width="14.875" style="43" customWidth="1"/>
    <col min="260" max="260" width="9" style="43"/>
    <col min="261" max="261" width="12.25" style="43" bestFit="1" customWidth="1"/>
    <col min="262" max="512" width="9" style="43"/>
    <col min="513" max="513" width="5.375" style="43" customWidth="1"/>
    <col min="514" max="514" width="88" style="43" customWidth="1"/>
    <col min="515" max="515" width="14.875" style="43" customWidth="1"/>
    <col min="516" max="516" width="9" style="43"/>
    <col min="517" max="517" width="12.25" style="43" bestFit="1" customWidth="1"/>
    <col min="518" max="768" width="9" style="43"/>
    <col min="769" max="769" width="5.375" style="43" customWidth="1"/>
    <col min="770" max="770" width="88" style="43" customWidth="1"/>
    <col min="771" max="771" width="14.875" style="43" customWidth="1"/>
    <col min="772" max="772" width="9" style="43"/>
    <col min="773" max="773" width="12.25" style="43" bestFit="1" customWidth="1"/>
    <col min="774" max="1024" width="9" style="43"/>
    <col min="1025" max="1025" width="5.375" style="43" customWidth="1"/>
    <col min="1026" max="1026" width="88" style="43" customWidth="1"/>
    <col min="1027" max="1027" width="14.875" style="43" customWidth="1"/>
    <col min="1028" max="1028" width="9" style="43"/>
    <col min="1029" max="1029" width="12.25" style="43" bestFit="1" customWidth="1"/>
    <col min="1030" max="1280" width="9" style="43"/>
    <col min="1281" max="1281" width="5.375" style="43" customWidth="1"/>
    <col min="1282" max="1282" width="88" style="43" customWidth="1"/>
    <col min="1283" max="1283" width="14.875" style="43" customWidth="1"/>
    <col min="1284" max="1284" width="9" style="43"/>
    <col min="1285" max="1285" width="12.25" style="43" bestFit="1" customWidth="1"/>
    <col min="1286" max="1536" width="9" style="43"/>
    <col min="1537" max="1537" width="5.375" style="43" customWidth="1"/>
    <col min="1538" max="1538" width="88" style="43" customWidth="1"/>
    <col min="1539" max="1539" width="14.875" style="43" customWidth="1"/>
    <col min="1540" max="1540" width="9" style="43"/>
    <col min="1541" max="1541" width="12.25" style="43" bestFit="1" customWidth="1"/>
    <col min="1542" max="1792" width="9" style="43"/>
    <col min="1793" max="1793" width="5.375" style="43" customWidth="1"/>
    <col min="1794" max="1794" width="88" style="43" customWidth="1"/>
    <col min="1795" max="1795" width="14.875" style="43" customWidth="1"/>
    <col min="1796" max="1796" width="9" style="43"/>
    <col min="1797" max="1797" width="12.25" style="43" bestFit="1" customWidth="1"/>
    <col min="1798" max="2048" width="9" style="43"/>
    <col min="2049" max="2049" width="5.375" style="43" customWidth="1"/>
    <col min="2050" max="2050" width="88" style="43" customWidth="1"/>
    <col min="2051" max="2051" width="14.875" style="43" customWidth="1"/>
    <col min="2052" max="2052" width="9" style="43"/>
    <col min="2053" max="2053" width="12.25" style="43" bestFit="1" customWidth="1"/>
    <col min="2054" max="2304" width="9" style="43"/>
    <col min="2305" max="2305" width="5.375" style="43" customWidth="1"/>
    <col min="2306" max="2306" width="88" style="43" customWidth="1"/>
    <col min="2307" max="2307" width="14.875" style="43" customWidth="1"/>
    <col min="2308" max="2308" width="9" style="43"/>
    <col min="2309" max="2309" width="12.25" style="43" bestFit="1" customWidth="1"/>
    <col min="2310" max="2560" width="9" style="43"/>
    <col min="2561" max="2561" width="5.375" style="43" customWidth="1"/>
    <col min="2562" max="2562" width="88" style="43" customWidth="1"/>
    <col min="2563" max="2563" width="14.875" style="43" customWidth="1"/>
    <col min="2564" max="2564" width="9" style="43"/>
    <col min="2565" max="2565" width="12.25" style="43" bestFit="1" customWidth="1"/>
    <col min="2566" max="2816" width="9" style="43"/>
    <col min="2817" max="2817" width="5.375" style="43" customWidth="1"/>
    <col min="2818" max="2818" width="88" style="43" customWidth="1"/>
    <col min="2819" max="2819" width="14.875" style="43" customWidth="1"/>
    <col min="2820" max="2820" width="9" style="43"/>
    <col min="2821" max="2821" width="12.25" style="43" bestFit="1" customWidth="1"/>
    <col min="2822" max="3072" width="9" style="43"/>
    <col min="3073" max="3073" width="5.375" style="43" customWidth="1"/>
    <col min="3074" max="3074" width="88" style="43" customWidth="1"/>
    <col min="3075" max="3075" width="14.875" style="43" customWidth="1"/>
    <col min="3076" max="3076" width="9" style="43"/>
    <col min="3077" max="3077" width="12.25" style="43" bestFit="1" customWidth="1"/>
    <col min="3078" max="3328" width="9" style="43"/>
    <col min="3329" max="3329" width="5.375" style="43" customWidth="1"/>
    <col min="3330" max="3330" width="88" style="43" customWidth="1"/>
    <col min="3331" max="3331" width="14.875" style="43" customWidth="1"/>
    <col min="3332" max="3332" width="9" style="43"/>
    <col min="3333" max="3333" width="12.25" style="43" bestFit="1" customWidth="1"/>
    <col min="3334" max="3584" width="9" style="43"/>
    <col min="3585" max="3585" width="5.375" style="43" customWidth="1"/>
    <col min="3586" max="3586" width="88" style="43" customWidth="1"/>
    <col min="3587" max="3587" width="14.875" style="43" customWidth="1"/>
    <col min="3588" max="3588" width="9" style="43"/>
    <col min="3589" max="3589" width="12.25" style="43" bestFit="1" customWidth="1"/>
    <col min="3590" max="3840" width="9" style="43"/>
    <col min="3841" max="3841" width="5.375" style="43" customWidth="1"/>
    <col min="3842" max="3842" width="88" style="43" customWidth="1"/>
    <col min="3843" max="3843" width="14.875" style="43" customWidth="1"/>
    <col min="3844" max="3844" width="9" style="43"/>
    <col min="3845" max="3845" width="12.25" style="43" bestFit="1" customWidth="1"/>
    <col min="3846" max="4096" width="9" style="43"/>
    <col min="4097" max="4097" width="5.375" style="43" customWidth="1"/>
    <col min="4098" max="4098" width="88" style="43" customWidth="1"/>
    <col min="4099" max="4099" width="14.875" style="43" customWidth="1"/>
    <col min="4100" max="4100" width="9" style="43"/>
    <col min="4101" max="4101" width="12.25" style="43" bestFit="1" customWidth="1"/>
    <col min="4102" max="4352" width="9" style="43"/>
    <col min="4353" max="4353" width="5.375" style="43" customWidth="1"/>
    <col min="4354" max="4354" width="88" style="43" customWidth="1"/>
    <col min="4355" max="4355" width="14.875" style="43" customWidth="1"/>
    <col min="4356" max="4356" width="9" style="43"/>
    <col min="4357" max="4357" width="12.25" style="43" bestFit="1" customWidth="1"/>
    <col min="4358" max="4608" width="9" style="43"/>
    <col min="4609" max="4609" width="5.375" style="43" customWidth="1"/>
    <col min="4610" max="4610" width="88" style="43" customWidth="1"/>
    <col min="4611" max="4611" width="14.875" style="43" customWidth="1"/>
    <col min="4612" max="4612" width="9" style="43"/>
    <col min="4613" max="4613" width="12.25" style="43" bestFit="1" customWidth="1"/>
    <col min="4614" max="4864" width="9" style="43"/>
    <col min="4865" max="4865" width="5.375" style="43" customWidth="1"/>
    <col min="4866" max="4866" width="88" style="43" customWidth="1"/>
    <col min="4867" max="4867" width="14.875" style="43" customWidth="1"/>
    <col min="4868" max="4868" width="9" style="43"/>
    <col min="4869" max="4869" width="12.25" style="43" bestFit="1" customWidth="1"/>
    <col min="4870" max="5120" width="9" style="43"/>
    <col min="5121" max="5121" width="5.375" style="43" customWidth="1"/>
    <col min="5122" max="5122" width="88" style="43" customWidth="1"/>
    <col min="5123" max="5123" width="14.875" style="43" customWidth="1"/>
    <col min="5124" max="5124" width="9" style="43"/>
    <col min="5125" max="5125" width="12.25" style="43" bestFit="1" customWidth="1"/>
    <col min="5126" max="5376" width="9" style="43"/>
    <col min="5377" max="5377" width="5.375" style="43" customWidth="1"/>
    <col min="5378" max="5378" width="88" style="43" customWidth="1"/>
    <col min="5379" max="5379" width="14.875" style="43" customWidth="1"/>
    <col min="5380" max="5380" width="9" style="43"/>
    <col min="5381" max="5381" width="12.25" style="43" bestFit="1" customWidth="1"/>
    <col min="5382" max="5632" width="9" style="43"/>
    <col min="5633" max="5633" width="5.375" style="43" customWidth="1"/>
    <col min="5634" max="5634" width="88" style="43" customWidth="1"/>
    <col min="5635" max="5635" width="14.875" style="43" customWidth="1"/>
    <col min="5636" max="5636" width="9" style="43"/>
    <col min="5637" max="5637" width="12.25" style="43" bestFit="1" customWidth="1"/>
    <col min="5638" max="5888" width="9" style="43"/>
    <col min="5889" max="5889" width="5.375" style="43" customWidth="1"/>
    <col min="5890" max="5890" width="88" style="43" customWidth="1"/>
    <col min="5891" max="5891" width="14.875" style="43" customWidth="1"/>
    <col min="5892" max="5892" width="9" style="43"/>
    <col min="5893" max="5893" width="12.25" style="43" bestFit="1" customWidth="1"/>
    <col min="5894" max="6144" width="9" style="43"/>
    <col min="6145" max="6145" width="5.375" style="43" customWidth="1"/>
    <col min="6146" max="6146" width="88" style="43" customWidth="1"/>
    <col min="6147" max="6147" width="14.875" style="43" customWidth="1"/>
    <col min="6148" max="6148" width="9" style="43"/>
    <col min="6149" max="6149" width="12.25" style="43" bestFit="1" customWidth="1"/>
    <col min="6150" max="6400" width="9" style="43"/>
    <col min="6401" max="6401" width="5.375" style="43" customWidth="1"/>
    <col min="6402" max="6402" width="88" style="43" customWidth="1"/>
    <col min="6403" max="6403" width="14.875" style="43" customWidth="1"/>
    <col min="6404" max="6404" width="9" style="43"/>
    <col min="6405" max="6405" width="12.25" style="43" bestFit="1" customWidth="1"/>
    <col min="6406" max="6656" width="9" style="43"/>
    <col min="6657" max="6657" width="5.375" style="43" customWidth="1"/>
    <col min="6658" max="6658" width="88" style="43" customWidth="1"/>
    <col min="6659" max="6659" width="14.875" style="43" customWidth="1"/>
    <col min="6660" max="6660" width="9" style="43"/>
    <col min="6661" max="6661" width="12.25" style="43" bestFit="1" customWidth="1"/>
    <col min="6662" max="6912" width="9" style="43"/>
    <col min="6913" max="6913" width="5.375" style="43" customWidth="1"/>
    <col min="6914" max="6914" width="88" style="43" customWidth="1"/>
    <col min="6915" max="6915" width="14.875" style="43" customWidth="1"/>
    <col min="6916" max="6916" width="9" style="43"/>
    <col min="6917" max="6917" width="12.25" style="43" bestFit="1" customWidth="1"/>
    <col min="6918" max="7168" width="9" style="43"/>
    <col min="7169" max="7169" width="5.375" style="43" customWidth="1"/>
    <col min="7170" max="7170" width="88" style="43" customWidth="1"/>
    <col min="7171" max="7171" width="14.875" style="43" customWidth="1"/>
    <col min="7172" max="7172" width="9" style="43"/>
    <col min="7173" max="7173" width="12.25" style="43" bestFit="1" customWidth="1"/>
    <col min="7174" max="7424" width="9" style="43"/>
    <col min="7425" max="7425" width="5.375" style="43" customWidth="1"/>
    <col min="7426" max="7426" width="88" style="43" customWidth="1"/>
    <col min="7427" max="7427" width="14.875" style="43" customWidth="1"/>
    <col min="7428" max="7428" width="9" style="43"/>
    <col min="7429" max="7429" width="12.25" style="43" bestFit="1" customWidth="1"/>
    <col min="7430" max="7680" width="9" style="43"/>
    <col min="7681" max="7681" width="5.375" style="43" customWidth="1"/>
    <col min="7682" max="7682" width="88" style="43" customWidth="1"/>
    <col min="7683" max="7683" width="14.875" style="43" customWidth="1"/>
    <col min="7684" max="7684" width="9" style="43"/>
    <col min="7685" max="7685" width="12.25" style="43" bestFit="1" customWidth="1"/>
    <col min="7686" max="7936" width="9" style="43"/>
    <col min="7937" max="7937" width="5.375" style="43" customWidth="1"/>
    <col min="7938" max="7938" width="88" style="43" customWidth="1"/>
    <col min="7939" max="7939" width="14.875" style="43" customWidth="1"/>
    <col min="7940" max="7940" width="9" style="43"/>
    <col min="7941" max="7941" width="12.25" style="43" bestFit="1" customWidth="1"/>
    <col min="7942" max="8192" width="9" style="43"/>
    <col min="8193" max="8193" width="5.375" style="43" customWidth="1"/>
    <col min="8194" max="8194" width="88" style="43" customWidth="1"/>
    <col min="8195" max="8195" width="14.875" style="43" customWidth="1"/>
    <col min="8196" max="8196" width="9" style="43"/>
    <col min="8197" max="8197" width="12.25" style="43" bestFit="1" customWidth="1"/>
    <col min="8198" max="8448" width="9" style="43"/>
    <col min="8449" max="8449" width="5.375" style="43" customWidth="1"/>
    <col min="8450" max="8450" width="88" style="43" customWidth="1"/>
    <col min="8451" max="8451" width="14.875" style="43" customWidth="1"/>
    <col min="8452" max="8452" width="9" style="43"/>
    <col min="8453" max="8453" width="12.25" style="43" bestFit="1" customWidth="1"/>
    <col min="8454" max="8704" width="9" style="43"/>
    <col min="8705" max="8705" width="5.375" style="43" customWidth="1"/>
    <col min="8706" max="8706" width="88" style="43" customWidth="1"/>
    <col min="8707" max="8707" width="14.875" style="43" customWidth="1"/>
    <col min="8708" max="8708" width="9" style="43"/>
    <col min="8709" max="8709" width="12.25" style="43" bestFit="1" customWidth="1"/>
    <col min="8710" max="8960" width="9" style="43"/>
    <col min="8961" max="8961" width="5.375" style="43" customWidth="1"/>
    <col min="8962" max="8962" width="88" style="43" customWidth="1"/>
    <col min="8963" max="8963" width="14.875" style="43" customWidth="1"/>
    <col min="8964" max="8964" width="9" style="43"/>
    <col min="8965" max="8965" width="12.25" style="43" bestFit="1" customWidth="1"/>
    <col min="8966" max="9216" width="9" style="43"/>
    <col min="9217" max="9217" width="5.375" style="43" customWidth="1"/>
    <col min="9218" max="9218" width="88" style="43" customWidth="1"/>
    <col min="9219" max="9219" width="14.875" style="43" customWidth="1"/>
    <col min="9220" max="9220" width="9" style="43"/>
    <col min="9221" max="9221" width="12.25" style="43" bestFit="1" customWidth="1"/>
    <col min="9222" max="9472" width="9" style="43"/>
    <col min="9473" max="9473" width="5.375" style="43" customWidth="1"/>
    <col min="9474" max="9474" width="88" style="43" customWidth="1"/>
    <col min="9475" max="9475" width="14.875" style="43" customWidth="1"/>
    <col min="9476" max="9476" width="9" style="43"/>
    <col min="9477" max="9477" width="12.25" style="43" bestFit="1" customWidth="1"/>
    <col min="9478" max="9728" width="9" style="43"/>
    <col min="9729" max="9729" width="5.375" style="43" customWidth="1"/>
    <col min="9730" max="9730" width="88" style="43" customWidth="1"/>
    <col min="9731" max="9731" width="14.875" style="43" customWidth="1"/>
    <col min="9732" max="9732" width="9" style="43"/>
    <col min="9733" max="9733" width="12.25" style="43" bestFit="1" customWidth="1"/>
    <col min="9734" max="9984" width="9" style="43"/>
    <col min="9985" max="9985" width="5.375" style="43" customWidth="1"/>
    <col min="9986" max="9986" width="88" style="43" customWidth="1"/>
    <col min="9987" max="9987" width="14.875" style="43" customWidth="1"/>
    <col min="9988" max="9988" width="9" style="43"/>
    <col min="9989" max="9989" width="12.25" style="43" bestFit="1" customWidth="1"/>
    <col min="9990" max="10240" width="9" style="43"/>
    <col min="10241" max="10241" width="5.375" style="43" customWidth="1"/>
    <col min="10242" max="10242" width="88" style="43" customWidth="1"/>
    <col min="10243" max="10243" width="14.875" style="43" customWidth="1"/>
    <col min="10244" max="10244" width="9" style="43"/>
    <col min="10245" max="10245" width="12.25" style="43" bestFit="1" customWidth="1"/>
    <col min="10246" max="10496" width="9" style="43"/>
    <col min="10497" max="10497" width="5.375" style="43" customWidth="1"/>
    <col min="10498" max="10498" width="88" style="43" customWidth="1"/>
    <col min="10499" max="10499" width="14.875" style="43" customWidth="1"/>
    <col min="10500" max="10500" width="9" style="43"/>
    <col min="10501" max="10501" width="12.25" style="43" bestFit="1" customWidth="1"/>
    <col min="10502" max="10752" width="9" style="43"/>
    <col min="10753" max="10753" width="5.375" style="43" customWidth="1"/>
    <col min="10754" max="10754" width="88" style="43" customWidth="1"/>
    <col min="10755" max="10755" width="14.875" style="43" customWidth="1"/>
    <col min="10756" max="10756" width="9" style="43"/>
    <col min="10757" max="10757" width="12.25" style="43" bestFit="1" customWidth="1"/>
    <col min="10758" max="11008" width="9" style="43"/>
    <col min="11009" max="11009" width="5.375" style="43" customWidth="1"/>
    <col min="11010" max="11010" width="88" style="43" customWidth="1"/>
    <col min="11011" max="11011" width="14.875" style="43" customWidth="1"/>
    <col min="11012" max="11012" width="9" style="43"/>
    <col min="11013" max="11013" width="12.25" style="43" bestFit="1" customWidth="1"/>
    <col min="11014" max="11264" width="9" style="43"/>
    <col min="11265" max="11265" width="5.375" style="43" customWidth="1"/>
    <col min="11266" max="11266" width="88" style="43" customWidth="1"/>
    <col min="11267" max="11267" width="14.875" style="43" customWidth="1"/>
    <col min="11268" max="11268" width="9" style="43"/>
    <col min="11269" max="11269" width="12.25" style="43" bestFit="1" customWidth="1"/>
    <col min="11270" max="11520" width="9" style="43"/>
    <col min="11521" max="11521" width="5.375" style="43" customWidth="1"/>
    <col min="11522" max="11522" width="88" style="43" customWidth="1"/>
    <col min="11523" max="11523" width="14.875" style="43" customWidth="1"/>
    <col min="11524" max="11524" width="9" style="43"/>
    <col min="11525" max="11525" width="12.25" style="43" bestFit="1" customWidth="1"/>
    <col min="11526" max="11776" width="9" style="43"/>
    <col min="11777" max="11777" width="5.375" style="43" customWidth="1"/>
    <col min="11778" max="11778" width="88" style="43" customWidth="1"/>
    <col min="11779" max="11779" width="14.875" style="43" customWidth="1"/>
    <col min="11780" max="11780" width="9" style="43"/>
    <col min="11781" max="11781" width="12.25" style="43" bestFit="1" customWidth="1"/>
    <col min="11782" max="12032" width="9" style="43"/>
    <col min="12033" max="12033" width="5.375" style="43" customWidth="1"/>
    <col min="12034" max="12034" width="88" style="43" customWidth="1"/>
    <col min="12035" max="12035" width="14.875" style="43" customWidth="1"/>
    <col min="12036" max="12036" width="9" style="43"/>
    <col min="12037" max="12037" width="12.25" style="43" bestFit="1" customWidth="1"/>
    <col min="12038" max="12288" width="9" style="43"/>
    <col min="12289" max="12289" width="5.375" style="43" customWidth="1"/>
    <col min="12290" max="12290" width="88" style="43" customWidth="1"/>
    <col min="12291" max="12291" width="14.875" style="43" customWidth="1"/>
    <col min="12292" max="12292" width="9" style="43"/>
    <col min="12293" max="12293" width="12.25" style="43" bestFit="1" customWidth="1"/>
    <col min="12294" max="12544" width="9" style="43"/>
    <col min="12545" max="12545" width="5.375" style="43" customWidth="1"/>
    <col min="12546" max="12546" width="88" style="43" customWidth="1"/>
    <col min="12547" max="12547" width="14.875" style="43" customWidth="1"/>
    <col min="12548" max="12548" width="9" style="43"/>
    <col min="12549" max="12549" width="12.25" style="43" bestFit="1" customWidth="1"/>
    <col min="12550" max="12800" width="9" style="43"/>
    <col min="12801" max="12801" width="5.375" style="43" customWidth="1"/>
    <col min="12802" max="12802" width="88" style="43" customWidth="1"/>
    <col min="12803" max="12803" width="14.875" style="43" customWidth="1"/>
    <col min="12804" max="12804" width="9" style="43"/>
    <col min="12805" max="12805" width="12.25" style="43" bestFit="1" customWidth="1"/>
    <col min="12806" max="13056" width="9" style="43"/>
    <col min="13057" max="13057" width="5.375" style="43" customWidth="1"/>
    <col min="13058" max="13058" width="88" style="43" customWidth="1"/>
    <col min="13059" max="13059" width="14.875" style="43" customWidth="1"/>
    <col min="13060" max="13060" width="9" style="43"/>
    <col min="13061" max="13061" width="12.25" style="43" bestFit="1" customWidth="1"/>
    <col min="13062" max="13312" width="9" style="43"/>
    <col min="13313" max="13313" width="5.375" style="43" customWidth="1"/>
    <col min="13314" max="13314" width="88" style="43" customWidth="1"/>
    <col min="13315" max="13315" width="14.875" style="43" customWidth="1"/>
    <col min="13316" max="13316" width="9" style="43"/>
    <col min="13317" max="13317" width="12.25" style="43" bestFit="1" customWidth="1"/>
    <col min="13318" max="13568" width="9" style="43"/>
    <col min="13569" max="13569" width="5.375" style="43" customWidth="1"/>
    <col min="13570" max="13570" width="88" style="43" customWidth="1"/>
    <col min="13571" max="13571" width="14.875" style="43" customWidth="1"/>
    <col min="13572" max="13572" width="9" style="43"/>
    <col min="13573" max="13573" width="12.25" style="43" bestFit="1" customWidth="1"/>
    <col min="13574" max="13824" width="9" style="43"/>
    <col min="13825" max="13825" width="5.375" style="43" customWidth="1"/>
    <col min="13826" max="13826" width="88" style="43" customWidth="1"/>
    <col min="13827" max="13827" width="14.875" style="43" customWidth="1"/>
    <col min="13828" max="13828" width="9" style="43"/>
    <col min="13829" max="13829" width="12.25" style="43" bestFit="1" customWidth="1"/>
    <col min="13830" max="14080" width="9" style="43"/>
    <col min="14081" max="14081" width="5.375" style="43" customWidth="1"/>
    <col min="14082" max="14082" width="88" style="43" customWidth="1"/>
    <col min="14083" max="14083" width="14.875" style="43" customWidth="1"/>
    <col min="14084" max="14084" width="9" style="43"/>
    <col min="14085" max="14085" width="12.25" style="43" bestFit="1" customWidth="1"/>
    <col min="14086" max="14336" width="9" style="43"/>
    <col min="14337" max="14337" width="5.375" style="43" customWidth="1"/>
    <col min="14338" max="14338" width="88" style="43" customWidth="1"/>
    <col min="14339" max="14339" width="14.875" style="43" customWidth="1"/>
    <col min="14340" max="14340" width="9" style="43"/>
    <col min="14341" max="14341" width="12.25" style="43" bestFit="1" customWidth="1"/>
    <col min="14342" max="14592" width="9" style="43"/>
    <col min="14593" max="14593" width="5.375" style="43" customWidth="1"/>
    <col min="14594" max="14594" width="88" style="43" customWidth="1"/>
    <col min="14595" max="14595" width="14.875" style="43" customWidth="1"/>
    <col min="14596" max="14596" width="9" style="43"/>
    <col min="14597" max="14597" width="12.25" style="43" bestFit="1" customWidth="1"/>
    <col min="14598" max="14848" width="9" style="43"/>
    <col min="14849" max="14849" width="5.375" style="43" customWidth="1"/>
    <col min="14850" max="14850" width="88" style="43" customWidth="1"/>
    <col min="14851" max="14851" width="14.875" style="43" customWidth="1"/>
    <col min="14852" max="14852" width="9" style="43"/>
    <col min="14853" max="14853" width="12.25" style="43" bestFit="1" customWidth="1"/>
    <col min="14854" max="15104" width="9" style="43"/>
    <col min="15105" max="15105" width="5.375" style="43" customWidth="1"/>
    <col min="15106" max="15106" width="88" style="43" customWidth="1"/>
    <col min="15107" max="15107" width="14.875" style="43" customWidth="1"/>
    <col min="15108" max="15108" width="9" style="43"/>
    <col min="15109" max="15109" width="12.25" style="43" bestFit="1" customWidth="1"/>
    <col min="15110" max="15360" width="9" style="43"/>
    <col min="15361" max="15361" width="5.375" style="43" customWidth="1"/>
    <col min="15362" max="15362" width="88" style="43" customWidth="1"/>
    <col min="15363" max="15363" width="14.875" style="43" customWidth="1"/>
    <col min="15364" max="15364" width="9" style="43"/>
    <col min="15365" max="15365" width="12.25" style="43" bestFit="1" customWidth="1"/>
    <col min="15366" max="15616" width="9" style="43"/>
    <col min="15617" max="15617" width="5.375" style="43" customWidth="1"/>
    <col min="15618" max="15618" width="88" style="43" customWidth="1"/>
    <col min="15619" max="15619" width="14.875" style="43" customWidth="1"/>
    <col min="15620" max="15620" width="9" style="43"/>
    <col min="15621" max="15621" width="12.25" style="43" bestFit="1" customWidth="1"/>
    <col min="15622" max="15872" width="9" style="43"/>
    <col min="15873" max="15873" width="5.375" style="43" customWidth="1"/>
    <col min="15874" max="15874" width="88" style="43" customWidth="1"/>
    <col min="15875" max="15875" width="14.875" style="43" customWidth="1"/>
    <col min="15876" max="15876" width="9" style="43"/>
    <col min="15877" max="15877" width="12.25" style="43" bestFit="1" customWidth="1"/>
    <col min="15878" max="16128" width="9" style="43"/>
    <col min="16129" max="16129" width="5.375" style="43" customWidth="1"/>
    <col min="16130" max="16130" width="88" style="43" customWidth="1"/>
    <col min="16131" max="16131" width="14.875" style="43" customWidth="1"/>
    <col min="16132" max="16132" width="9" style="43"/>
    <col min="16133" max="16133" width="12.25" style="43" bestFit="1" customWidth="1"/>
    <col min="16134" max="16384" width="9" style="43"/>
  </cols>
  <sheetData>
    <row r="1" spans="1:5" ht="22.5" thickBot="1" x14ac:dyDescent="0.55000000000000004">
      <c r="A1" s="47"/>
      <c r="B1" s="47"/>
      <c r="C1" s="48"/>
    </row>
    <row r="2" spans="1:5" s="51" customFormat="1" ht="18.75" x14ac:dyDescent="0.3">
      <c r="A2" s="49"/>
      <c r="B2" s="49" t="s">
        <v>16</v>
      </c>
      <c r="C2" s="50" t="s">
        <v>18</v>
      </c>
      <c r="E2" s="52"/>
    </row>
    <row r="3" spans="1:5" ht="22.5" thickBot="1" x14ac:dyDescent="0.55000000000000004">
      <c r="A3" s="53"/>
      <c r="B3" s="54" t="s">
        <v>869</v>
      </c>
      <c r="C3" s="55" t="s">
        <v>19</v>
      </c>
    </row>
    <row r="4" spans="1:5" ht="22.5" thickBot="1" x14ac:dyDescent="0.55000000000000004">
      <c r="A4" s="613"/>
      <c r="B4" s="54"/>
      <c r="C4" s="780">
        <f>C5+C12+C16</f>
        <v>4405000</v>
      </c>
    </row>
    <row r="5" spans="1:5" ht="22.5" thickBot="1" x14ac:dyDescent="0.55000000000000004">
      <c r="A5" s="362">
        <v>1</v>
      </c>
      <c r="B5" s="85" t="s">
        <v>72</v>
      </c>
      <c r="C5" s="557">
        <v>1905000</v>
      </c>
    </row>
    <row r="6" spans="1:5" x14ac:dyDescent="0.5">
      <c r="A6" s="53"/>
      <c r="B6" s="364" t="s">
        <v>870</v>
      </c>
      <c r="C6" s="365">
        <v>420000</v>
      </c>
    </row>
    <row r="7" spans="1:5" ht="25.15" customHeight="1" x14ac:dyDescent="0.5">
      <c r="A7" s="53"/>
      <c r="B7" s="366" t="s">
        <v>871</v>
      </c>
      <c r="C7" s="64">
        <v>240000</v>
      </c>
    </row>
    <row r="8" spans="1:5" x14ac:dyDescent="0.5">
      <c r="A8" s="53"/>
      <c r="B8" s="366" t="s">
        <v>872</v>
      </c>
      <c r="C8" s="64">
        <v>420000</v>
      </c>
    </row>
    <row r="9" spans="1:5" x14ac:dyDescent="0.5">
      <c r="A9" s="53"/>
      <c r="B9" s="368" t="s">
        <v>873</v>
      </c>
      <c r="C9" s="64">
        <v>210000</v>
      </c>
    </row>
    <row r="10" spans="1:5" x14ac:dyDescent="0.5">
      <c r="A10" s="53"/>
      <c r="B10" s="366" t="s">
        <v>874</v>
      </c>
      <c r="C10" s="64">
        <v>210000</v>
      </c>
    </row>
    <row r="11" spans="1:5" ht="18" customHeight="1" thickBot="1" x14ac:dyDescent="0.55000000000000004">
      <c r="A11" s="53"/>
      <c r="B11" s="462"/>
      <c r="C11" s="771"/>
    </row>
    <row r="12" spans="1:5" s="70" customFormat="1" ht="26.25" customHeight="1" thickBot="1" x14ac:dyDescent="0.45">
      <c r="A12" s="362">
        <v>2</v>
      </c>
      <c r="B12" s="775" t="s">
        <v>79</v>
      </c>
      <c r="C12" s="776">
        <f>C13+C14</f>
        <v>405000</v>
      </c>
    </row>
    <row r="13" spans="1:5" s="70" customFormat="1" ht="26.25" customHeight="1" x14ac:dyDescent="0.5">
      <c r="A13" s="612"/>
      <c r="B13" s="772" t="s">
        <v>875</v>
      </c>
      <c r="C13" s="773">
        <v>270000</v>
      </c>
    </row>
    <row r="14" spans="1:5" s="70" customFormat="1" ht="26.25" customHeight="1" x14ac:dyDescent="0.5">
      <c r="A14" s="613"/>
      <c r="B14" s="558" t="s">
        <v>876</v>
      </c>
      <c r="C14" s="62">
        <v>135000</v>
      </c>
    </row>
    <row r="15" spans="1:5" s="70" customFormat="1" ht="17.25" customHeight="1" thickBot="1" x14ac:dyDescent="0.55000000000000004">
      <c r="A15" s="613"/>
      <c r="B15" s="558"/>
      <c r="C15" s="466"/>
    </row>
    <row r="16" spans="1:5" s="70" customFormat="1" ht="26.25" customHeight="1" thickBot="1" x14ac:dyDescent="0.45">
      <c r="A16" s="362">
        <v>3</v>
      </c>
      <c r="B16" s="770" t="s">
        <v>877</v>
      </c>
      <c r="C16" s="774">
        <v>2095000</v>
      </c>
    </row>
    <row r="17" spans="1:3" s="82" customFormat="1" ht="42.6" customHeight="1" x14ac:dyDescent="0.3">
      <c r="A17" s="612"/>
      <c r="B17" s="779" t="s">
        <v>878</v>
      </c>
      <c r="C17" s="372">
        <v>1000000</v>
      </c>
    </row>
    <row r="18" spans="1:3" s="82" customFormat="1" ht="23.25" customHeight="1" x14ac:dyDescent="0.2">
      <c r="A18" s="777"/>
      <c r="B18" s="83" t="s">
        <v>879</v>
      </c>
      <c r="C18" s="87"/>
    </row>
    <row r="19" spans="1:3" s="82" customFormat="1" ht="23.25" customHeight="1" x14ac:dyDescent="0.2">
      <c r="A19" s="777"/>
      <c r="B19" s="83" t="s">
        <v>880</v>
      </c>
      <c r="C19" s="87">
        <v>60000</v>
      </c>
    </row>
    <row r="20" spans="1:3" s="82" customFormat="1" ht="23.25" customHeight="1" x14ac:dyDescent="0.2">
      <c r="A20" s="777"/>
      <c r="B20" s="108" t="s">
        <v>881</v>
      </c>
      <c r="C20" s="87">
        <v>195000</v>
      </c>
    </row>
    <row r="21" spans="1:3" s="82" customFormat="1" ht="23.25" customHeight="1" x14ac:dyDescent="0.2">
      <c r="A21" s="777"/>
      <c r="B21" s="90" t="s">
        <v>882</v>
      </c>
      <c r="C21" s="87"/>
    </row>
    <row r="22" spans="1:3" s="82" customFormat="1" ht="23.25" customHeight="1" x14ac:dyDescent="0.2">
      <c r="A22" s="777"/>
      <c r="B22" s="373" t="s">
        <v>883</v>
      </c>
      <c r="C22" s="87">
        <v>21000</v>
      </c>
    </row>
    <row r="23" spans="1:3" s="82" customFormat="1" ht="23.25" customHeight="1" x14ac:dyDescent="0.5">
      <c r="A23" s="777"/>
      <c r="B23" s="80" t="s">
        <v>884</v>
      </c>
      <c r="C23" s="88">
        <v>11200</v>
      </c>
    </row>
    <row r="24" spans="1:3" s="70" customFormat="1" ht="21" customHeight="1" x14ac:dyDescent="0.5">
      <c r="A24" s="777"/>
      <c r="B24" s="80" t="s">
        <v>885</v>
      </c>
      <c r="C24" s="88">
        <v>3360</v>
      </c>
    </row>
    <row r="25" spans="1:3" s="70" customFormat="1" x14ac:dyDescent="0.5">
      <c r="A25" s="559"/>
      <c r="B25" s="80" t="s">
        <v>886</v>
      </c>
      <c r="C25" s="365">
        <v>150000</v>
      </c>
    </row>
    <row r="26" spans="1:3" s="70" customFormat="1" x14ac:dyDescent="0.5">
      <c r="A26" s="559"/>
      <c r="B26" s="80" t="s">
        <v>887</v>
      </c>
      <c r="C26" s="64">
        <v>500000</v>
      </c>
    </row>
    <row r="27" spans="1:3" s="70" customFormat="1" x14ac:dyDescent="0.5">
      <c r="A27" s="559"/>
      <c r="B27" s="560" t="s">
        <v>888</v>
      </c>
      <c r="C27" s="483"/>
    </row>
    <row r="28" spans="1:3" s="70" customFormat="1" x14ac:dyDescent="0.5">
      <c r="A28" s="559"/>
      <c r="B28" s="402" t="s">
        <v>889</v>
      </c>
      <c r="C28" s="88">
        <v>30000</v>
      </c>
    </row>
    <row r="29" spans="1:3" s="70" customFormat="1" x14ac:dyDescent="0.5">
      <c r="A29" s="559"/>
      <c r="B29" s="90" t="s">
        <v>890</v>
      </c>
      <c r="C29" s="88">
        <v>124440</v>
      </c>
    </row>
    <row r="30" spans="1:3" s="70" customFormat="1" ht="22.5" thickBot="1" x14ac:dyDescent="0.55000000000000004">
      <c r="A30" s="778"/>
      <c r="B30" s="561"/>
      <c r="C30" s="125"/>
    </row>
  </sheetData>
  <pageMargins left="0.31496062992125984" right="0.31496062992125984" top="0.74803149606299213" bottom="0.55118110236220474" header="0.31496062992125984" footer="0.31496062992125984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75"/>
  <sheetViews>
    <sheetView view="pageBreakPreview" zoomScale="120" zoomScaleNormal="100" zoomScaleSheetLayoutView="120" workbookViewId="0">
      <selection activeCell="B9" sqref="B9:B10"/>
    </sheetView>
  </sheetViews>
  <sheetFormatPr defaultRowHeight="24" x14ac:dyDescent="0.55000000000000004"/>
  <cols>
    <col min="1" max="1" width="8.125" style="562" customWidth="1"/>
    <col min="2" max="2" width="66" style="562" customWidth="1"/>
    <col min="3" max="5" width="7.75" style="562" hidden="1" customWidth="1"/>
    <col min="6" max="6" width="7.75" style="563" hidden="1" customWidth="1"/>
    <col min="7" max="7" width="16.75" style="564" customWidth="1"/>
    <col min="8" max="8" width="9" style="781" hidden="1" customWidth="1"/>
    <col min="9" max="9" width="11.25" style="781" hidden="1" customWidth="1"/>
    <col min="10" max="16384" width="9" style="562"/>
  </cols>
  <sheetData>
    <row r="1" spans="1:9" ht="25.5" customHeight="1" x14ac:dyDescent="0.55000000000000004">
      <c r="A1" s="911" t="s">
        <v>189</v>
      </c>
      <c r="B1" s="908" t="s">
        <v>1339</v>
      </c>
      <c r="C1" s="600"/>
      <c r="D1" s="600"/>
      <c r="E1" s="600" t="s">
        <v>56</v>
      </c>
      <c r="F1" s="600"/>
      <c r="G1" s="600"/>
    </row>
    <row r="2" spans="1:9" ht="17.25" customHeight="1" x14ac:dyDescent="0.55000000000000004">
      <c r="A2" s="912"/>
      <c r="B2" s="909"/>
      <c r="C2" s="914" t="s">
        <v>891</v>
      </c>
      <c r="D2" s="903" t="s">
        <v>261</v>
      </c>
      <c r="E2" s="903" t="s">
        <v>191</v>
      </c>
      <c r="F2" s="903" t="s">
        <v>192</v>
      </c>
      <c r="G2" s="905" t="s">
        <v>18</v>
      </c>
      <c r="I2" s="781" t="s">
        <v>892</v>
      </c>
    </row>
    <row r="3" spans="1:9" ht="18" customHeight="1" x14ac:dyDescent="0.55000000000000004">
      <c r="A3" s="912"/>
      <c r="B3" s="909"/>
      <c r="C3" s="914" t="s">
        <v>193</v>
      </c>
      <c r="D3" s="903"/>
      <c r="E3" s="903"/>
      <c r="F3" s="903"/>
      <c r="G3" s="906"/>
    </row>
    <row r="4" spans="1:9" ht="22.5" customHeight="1" x14ac:dyDescent="0.55000000000000004">
      <c r="A4" s="913"/>
      <c r="B4" s="910"/>
      <c r="C4" s="915" t="s">
        <v>893</v>
      </c>
      <c r="D4" s="904"/>
      <c r="E4" s="904"/>
      <c r="F4" s="904"/>
      <c r="G4" s="907"/>
    </row>
    <row r="5" spans="1:9" s="568" customFormat="1" ht="24" customHeight="1" x14ac:dyDescent="0.45">
      <c r="A5" s="608"/>
      <c r="B5" s="603" t="s">
        <v>2</v>
      </c>
      <c r="C5" s="506"/>
      <c r="D5" s="506"/>
      <c r="E5" s="506"/>
      <c r="F5" s="566"/>
      <c r="G5" s="567">
        <f>G6+G20</f>
        <v>10000000</v>
      </c>
    </row>
    <row r="6" spans="1:9" s="568" customFormat="1" ht="22.5" customHeight="1" x14ac:dyDescent="0.45">
      <c r="A6" s="608">
        <v>1</v>
      </c>
      <c r="B6" s="586" t="s">
        <v>1338</v>
      </c>
      <c r="C6" s="506"/>
      <c r="D6" s="506"/>
      <c r="E6" s="506"/>
      <c r="F6" s="566"/>
      <c r="G6" s="567">
        <f>G7+G16</f>
        <v>4720000</v>
      </c>
    </row>
    <row r="7" spans="1:9" ht="24" customHeight="1" x14ac:dyDescent="0.55000000000000004">
      <c r="A7" s="601"/>
      <c r="B7" s="604" t="s">
        <v>894</v>
      </c>
      <c r="C7" s="569"/>
      <c r="D7" s="569"/>
      <c r="E7" s="569"/>
      <c r="F7" s="570"/>
      <c r="G7" s="571">
        <f>SUM(G8:G15)</f>
        <v>2620000</v>
      </c>
    </row>
    <row r="8" spans="1:9" ht="43.5" x14ac:dyDescent="0.55000000000000004">
      <c r="A8" s="601"/>
      <c r="B8" s="582" t="s">
        <v>1340</v>
      </c>
      <c r="C8" s="572" t="s">
        <v>302</v>
      </c>
      <c r="D8" s="572">
        <v>1</v>
      </c>
      <c r="E8" s="573">
        <v>3</v>
      </c>
      <c r="F8" s="574">
        <v>90000</v>
      </c>
      <c r="G8" s="575">
        <f>E8*F8</f>
        <v>270000</v>
      </c>
    </row>
    <row r="9" spans="1:9" ht="24" customHeight="1" x14ac:dyDescent="0.55000000000000004">
      <c r="A9" s="601"/>
      <c r="B9" s="582" t="s">
        <v>1341</v>
      </c>
      <c r="C9" s="565" t="s">
        <v>302</v>
      </c>
      <c r="D9" s="565">
        <v>1</v>
      </c>
      <c r="E9" s="576">
        <v>5</v>
      </c>
      <c r="F9" s="577">
        <v>70000</v>
      </c>
      <c r="G9" s="575">
        <f t="shared" ref="G9:G15" si="0">D9*E9*F9</f>
        <v>350000</v>
      </c>
    </row>
    <row r="10" spans="1:9" ht="26.25" customHeight="1" x14ac:dyDescent="0.55000000000000004">
      <c r="A10" s="601"/>
      <c r="B10" s="582" t="s">
        <v>1342</v>
      </c>
      <c r="C10" s="565" t="s">
        <v>262</v>
      </c>
      <c r="D10" s="565">
        <v>1</v>
      </c>
      <c r="E10" s="576">
        <v>5</v>
      </c>
      <c r="F10" s="577">
        <v>60000</v>
      </c>
      <c r="G10" s="575">
        <f t="shared" si="0"/>
        <v>300000</v>
      </c>
    </row>
    <row r="11" spans="1:9" ht="43.5" x14ac:dyDescent="0.55000000000000004">
      <c r="A11" s="601"/>
      <c r="B11" s="605" t="s">
        <v>1343</v>
      </c>
      <c r="C11" s="565" t="s">
        <v>262</v>
      </c>
      <c r="D11" s="565">
        <v>1</v>
      </c>
      <c r="E11" s="576">
        <v>5</v>
      </c>
      <c r="F11" s="577">
        <v>60000</v>
      </c>
      <c r="G11" s="575">
        <f t="shared" si="0"/>
        <v>300000</v>
      </c>
    </row>
    <row r="12" spans="1:9" x14ac:dyDescent="0.55000000000000004">
      <c r="A12" s="601"/>
      <c r="B12" s="582" t="s">
        <v>1344</v>
      </c>
      <c r="C12" s="565" t="s">
        <v>262</v>
      </c>
      <c r="D12" s="565">
        <v>1</v>
      </c>
      <c r="E12" s="576">
        <v>5</v>
      </c>
      <c r="F12" s="577">
        <v>60000</v>
      </c>
      <c r="G12" s="575">
        <f t="shared" si="0"/>
        <v>300000</v>
      </c>
    </row>
    <row r="13" spans="1:9" x14ac:dyDescent="0.55000000000000004">
      <c r="A13" s="601"/>
      <c r="B13" s="605" t="s">
        <v>1345</v>
      </c>
      <c r="C13" s="565" t="s">
        <v>262</v>
      </c>
      <c r="D13" s="565">
        <v>1</v>
      </c>
      <c r="E13" s="576">
        <v>5</v>
      </c>
      <c r="F13" s="577">
        <v>60000</v>
      </c>
      <c r="G13" s="575">
        <f t="shared" si="0"/>
        <v>300000</v>
      </c>
    </row>
    <row r="14" spans="1:9" x14ac:dyDescent="0.55000000000000004">
      <c r="A14" s="601"/>
      <c r="B14" s="605" t="s">
        <v>1346</v>
      </c>
      <c r="C14" s="565" t="s">
        <v>262</v>
      </c>
      <c r="D14" s="565">
        <v>1</v>
      </c>
      <c r="E14" s="576">
        <v>5</v>
      </c>
      <c r="F14" s="577">
        <v>60000</v>
      </c>
      <c r="G14" s="575">
        <f t="shared" si="0"/>
        <v>300000</v>
      </c>
    </row>
    <row r="15" spans="1:9" x14ac:dyDescent="0.55000000000000004">
      <c r="A15" s="601"/>
      <c r="B15" s="585" t="s">
        <v>1347</v>
      </c>
      <c r="C15" s="565" t="s">
        <v>262</v>
      </c>
      <c r="D15" s="565">
        <v>2</v>
      </c>
      <c r="E15" s="576">
        <v>5</v>
      </c>
      <c r="F15" s="577">
        <v>50000</v>
      </c>
      <c r="G15" s="575">
        <f t="shared" si="0"/>
        <v>500000</v>
      </c>
    </row>
    <row r="16" spans="1:9" ht="24" customHeight="1" x14ac:dyDescent="0.55000000000000004">
      <c r="A16" s="601"/>
      <c r="B16" s="606" t="s">
        <v>200</v>
      </c>
      <c r="C16" s="565"/>
      <c r="D16" s="565"/>
      <c r="E16" s="576"/>
      <c r="F16" s="577"/>
      <c r="G16" s="571">
        <f>SUM(G17:G19)</f>
        <v>2100000</v>
      </c>
    </row>
    <row r="17" spans="1:9" x14ac:dyDescent="0.55000000000000004">
      <c r="A17" s="601"/>
      <c r="B17" s="607" t="s">
        <v>895</v>
      </c>
      <c r="C17" s="565" t="s">
        <v>896</v>
      </c>
      <c r="D17" s="565">
        <v>12</v>
      </c>
      <c r="E17" s="565">
        <v>5</v>
      </c>
      <c r="F17" s="577">
        <v>25000</v>
      </c>
      <c r="G17" s="578">
        <f>D17*E17*F17</f>
        <v>1500000</v>
      </c>
      <c r="I17" s="781">
        <f>10000</f>
        <v>10000</v>
      </c>
    </row>
    <row r="18" spans="1:9" x14ac:dyDescent="0.55000000000000004">
      <c r="A18" s="601"/>
      <c r="B18" s="585" t="s">
        <v>897</v>
      </c>
      <c r="C18" s="565" t="s">
        <v>198</v>
      </c>
      <c r="D18" s="565">
        <v>2</v>
      </c>
      <c r="E18" s="576">
        <v>9</v>
      </c>
      <c r="F18" s="577">
        <v>20000</v>
      </c>
      <c r="G18" s="578">
        <f>D18*E18*F18</f>
        <v>360000</v>
      </c>
      <c r="I18" s="781">
        <f>70*100</f>
        <v>7000</v>
      </c>
    </row>
    <row r="19" spans="1:9" ht="27" customHeight="1" x14ac:dyDescent="0.55000000000000004">
      <c r="A19" s="601"/>
      <c r="B19" s="585" t="s">
        <v>898</v>
      </c>
      <c r="C19" s="565" t="s">
        <v>675</v>
      </c>
      <c r="D19" s="565">
        <v>4</v>
      </c>
      <c r="E19" s="576">
        <v>5</v>
      </c>
      <c r="F19" s="577">
        <v>12000</v>
      </c>
      <c r="G19" s="578">
        <f>D19*E19*F19</f>
        <v>240000</v>
      </c>
      <c r="I19" s="781">
        <f>1200*7*2</f>
        <v>16800</v>
      </c>
    </row>
    <row r="20" spans="1:9" x14ac:dyDescent="0.55000000000000004">
      <c r="A20" s="601"/>
      <c r="B20" s="586" t="s">
        <v>265</v>
      </c>
      <c r="C20" s="565"/>
      <c r="D20" s="565"/>
      <c r="E20" s="576"/>
      <c r="F20" s="577"/>
      <c r="G20" s="571">
        <f>G29+G37+G48+G64+G35+G21</f>
        <v>5280000</v>
      </c>
      <c r="I20" s="781">
        <f>240*10</f>
        <v>2400</v>
      </c>
    </row>
    <row r="21" spans="1:9" x14ac:dyDescent="0.55000000000000004">
      <c r="A21" s="601"/>
      <c r="B21" s="586" t="s">
        <v>899</v>
      </c>
      <c r="C21" s="565"/>
      <c r="D21" s="565"/>
      <c r="E21" s="576"/>
      <c r="F21" s="577"/>
      <c r="G21" s="571">
        <f>SUM(G22:G28)</f>
        <v>147200</v>
      </c>
      <c r="I21" s="781">
        <f>50*2*100</f>
        <v>10000</v>
      </c>
    </row>
    <row r="22" spans="1:9" x14ac:dyDescent="0.55000000000000004">
      <c r="A22" s="601"/>
      <c r="B22" s="582" t="s">
        <v>900</v>
      </c>
      <c r="C22" s="576"/>
      <c r="D22" s="576"/>
      <c r="E22" s="576">
        <v>1</v>
      </c>
      <c r="F22" s="579">
        <v>10000</v>
      </c>
      <c r="G22" s="580">
        <f>F22*E22</f>
        <v>10000</v>
      </c>
      <c r="I22" s="781">
        <f>550*100</f>
        <v>55000</v>
      </c>
    </row>
    <row r="23" spans="1:9" ht="24" customHeight="1" x14ac:dyDescent="0.55000000000000004">
      <c r="A23" s="601"/>
      <c r="B23" s="581" t="s">
        <v>901</v>
      </c>
      <c r="C23" s="576"/>
      <c r="D23" s="576"/>
      <c r="E23" s="576">
        <v>150</v>
      </c>
      <c r="F23" s="579">
        <v>70</v>
      </c>
      <c r="G23" s="580">
        <f>F23*E23</f>
        <v>10500</v>
      </c>
    </row>
    <row r="24" spans="1:9" x14ac:dyDescent="0.55000000000000004">
      <c r="A24" s="601"/>
      <c r="B24" s="582" t="s">
        <v>902</v>
      </c>
      <c r="C24" s="576"/>
      <c r="D24" s="576"/>
      <c r="E24" s="576">
        <v>14</v>
      </c>
      <c r="F24" s="579">
        <v>1200</v>
      </c>
      <c r="G24" s="580">
        <f>F24*E24</f>
        <v>16800</v>
      </c>
    </row>
    <row r="25" spans="1:9" ht="24" customHeight="1" x14ac:dyDescent="0.55000000000000004">
      <c r="A25" s="601"/>
      <c r="B25" s="582" t="s">
        <v>903</v>
      </c>
      <c r="C25" s="576"/>
      <c r="D25" s="576"/>
      <c r="E25" s="576">
        <v>10</v>
      </c>
      <c r="F25" s="579">
        <v>240</v>
      </c>
      <c r="G25" s="580">
        <f>F25*E25</f>
        <v>2400</v>
      </c>
      <c r="I25" s="781">
        <f>12*2000</f>
        <v>24000</v>
      </c>
    </row>
    <row r="26" spans="1:9" x14ac:dyDescent="0.55000000000000004">
      <c r="A26" s="601"/>
      <c r="B26" s="583" t="s">
        <v>904</v>
      </c>
      <c r="C26" s="576"/>
      <c r="D26" s="576"/>
      <c r="E26" s="576">
        <v>300</v>
      </c>
      <c r="F26" s="579">
        <v>50</v>
      </c>
      <c r="G26" s="580">
        <f>F26*E26</f>
        <v>15000</v>
      </c>
      <c r="I26" s="781">
        <f>1*12*12*2500</f>
        <v>360000</v>
      </c>
    </row>
    <row r="27" spans="1:9" x14ac:dyDescent="0.55000000000000004">
      <c r="A27" s="601"/>
      <c r="B27" s="584" t="s">
        <v>905</v>
      </c>
      <c r="C27" s="576"/>
      <c r="D27" s="576"/>
      <c r="E27" s="576">
        <v>150</v>
      </c>
      <c r="F27" s="579">
        <v>550</v>
      </c>
      <c r="G27" s="580">
        <f>E27*F27</f>
        <v>82500</v>
      </c>
      <c r="I27" s="781">
        <f>6*240*24*12</f>
        <v>414720</v>
      </c>
    </row>
    <row r="28" spans="1:9" x14ac:dyDescent="0.55000000000000004">
      <c r="A28" s="601"/>
      <c r="B28" s="585" t="s">
        <v>906</v>
      </c>
      <c r="C28" s="565"/>
      <c r="D28" s="565"/>
      <c r="E28" s="576"/>
      <c r="F28" s="577"/>
      <c r="G28" s="578">
        <v>10000</v>
      </c>
      <c r="I28" s="781">
        <f>1000*3*12*12</f>
        <v>432000</v>
      </c>
    </row>
    <row r="29" spans="1:9" ht="37.5" customHeight="1" x14ac:dyDescent="0.55000000000000004">
      <c r="A29" s="601"/>
      <c r="B29" s="586" t="s">
        <v>907</v>
      </c>
      <c r="C29" s="565"/>
      <c r="D29" s="565"/>
      <c r="E29" s="576"/>
      <c r="F29" s="577"/>
      <c r="G29" s="571">
        <f>SUM(G30:G34)</f>
        <v>1129600</v>
      </c>
    </row>
    <row r="30" spans="1:9" x14ac:dyDescent="0.55000000000000004">
      <c r="A30" s="601"/>
      <c r="B30" s="585" t="s">
        <v>908</v>
      </c>
      <c r="C30" s="565"/>
      <c r="D30" s="565"/>
      <c r="E30" s="576">
        <v>12</v>
      </c>
      <c r="F30" s="577">
        <v>2000</v>
      </c>
      <c r="G30" s="578">
        <f>I25</f>
        <v>24000</v>
      </c>
    </row>
    <row r="31" spans="1:9" x14ac:dyDescent="0.55000000000000004">
      <c r="A31" s="601"/>
      <c r="B31" s="585" t="s">
        <v>909</v>
      </c>
      <c r="C31" s="565"/>
      <c r="D31" s="565"/>
      <c r="E31" s="576">
        <v>120</v>
      </c>
      <c r="F31" s="577">
        <v>2500</v>
      </c>
      <c r="G31" s="578">
        <f>E31*F31</f>
        <v>300000</v>
      </c>
      <c r="I31" s="781">
        <f>12*100000</f>
        <v>1200000</v>
      </c>
    </row>
    <row r="32" spans="1:9" s="587" customFormat="1" ht="24" customHeight="1" x14ac:dyDescent="0.55000000000000004">
      <c r="A32" s="609"/>
      <c r="B32" s="585" t="s">
        <v>910</v>
      </c>
      <c r="C32" s="565"/>
      <c r="D32" s="565">
        <v>6</v>
      </c>
      <c r="E32" s="576">
        <v>240</v>
      </c>
      <c r="F32" s="577">
        <v>240</v>
      </c>
      <c r="G32" s="578">
        <f>D32*E32*F32</f>
        <v>345600</v>
      </c>
      <c r="H32" s="781"/>
      <c r="I32" s="781"/>
    </row>
    <row r="33" spans="1:9" x14ac:dyDescent="0.55000000000000004">
      <c r="A33" s="601"/>
      <c r="B33" s="585" t="s">
        <v>911</v>
      </c>
      <c r="C33" s="565"/>
      <c r="D33" s="565">
        <v>3</v>
      </c>
      <c r="E33" s="576">
        <v>120</v>
      </c>
      <c r="F33" s="577">
        <v>1000</v>
      </c>
      <c r="G33" s="578">
        <f>D33*E33*F33</f>
        <v>360000</v>
      </c>
      <c r="I33" s="781">
        <f>10000*12*1</f>
        <v>120000</v>
      </c>
    </row>
    <row r="34" spans="1:9" x14ac:dyDescent="0.55000000000000004">
      <c r="A34" s="601"/>
      <c r="B34" s="585" t="s">
        <v>912</v>
      </c>
      <c r="C34" s="565"/>
      <c r="D34" s="565"/>
      <c r="E34" s="576">
        <v>10</v>
      </c>
      <c r="F34" s="577">
        <v>10000</v>
      </c>
      <c r="G34" s="578">
        <f>E34*F34</f>
        <v>100000</v>
      </c>
      <c r="I34" s="781">
        <f>70*1000</f>
        <v>70000</v>
      </c>
    </row>
    <row r="35" spans="1:9" ht="42.75" customHeight="1" x14ac:dyDescent="0.55000000000000004">
      <c r="A35" s="601"/>
      <c r="B35" s="586" t="s">
        <v>913</v>
      </c>
      <c r="C35" s="565"/>
      <c r="D35" s="565"/>
      <c r="E35" s="576"/>
      <c r="F35" s="577"/>
      <c r="G35" s="571">
        <f>G36</f>
        <v>1000000</v>
      </c>
      <c r="I35" s="781">
        <f>2*2500*12*2</f>
        <v>120000</v>
      </c>
    </row>
    <row r="36" spans="1:9" ht="23.25" customHeight="1" x14ac:dyDescent="0.55000000000000004">
      <c r="A36" s="601"/>
      <c r="B36" s="585" t="s">
        <v>914</v>
      </c>
      <c r="C36" s="565"/>
      <c r="D36" s="565"/>
      <c r="E36" s="576">
        <v>10</v>
      </c>
      <c r="F36" s="577">
        <v>100000</v>
      </c>
      <c r="G36" s="578">
        <f>E36*F36</f>
        <v>1000000</v>
      </c>
      <c r="I36" s="781">
        <f>1200*7*2*12</f>
        <v>201600</v>
      </c>
    </row>
    <row r="37" spans="1:9" x14ac:dyDescent="0.55000000000000004">
      <c r="A37" s="601"/>
      <c r="B37" s="588" t="s">
        <v>915</v>
      </c>
      <c r="C37" s="576"/>
      <c r="D37" s="576"/>
      <c r="E37" s="576"/>
      <c r="F37" s="579"/>
      <c r="G37" s="589">
        <f>SUM(G38:G47)</f>
        <v>1360000</v>
      </c>
      <c r="I37" s="781">
        <f>1200*2*12</f>
        <v>28800</v>
      </c>
    </row>
    <row r="38" spans="1:9" x14ac:dyDescent="0.55000000000000004">
      <c r="A38" s="601"/>
      <c r="B38" s="582" t="s">
        <v>916</v>
      </c>
      <c r="C38" s="576"/>
      <c r="D38" s="576"/>
      <c r="E38" s="576">
        <v>10</v>
      </c>
      <c r="F38" s="579">
        <v>10000</v>
      </c>
      <c r="G38" s="580">
        <f>E38*F38</f>
        <v>100000</v>
      </c>
      <c r="I38" s="781">
        <f>240*10*12*2</f>
        <v>57600</v>
      </c>
    </row>
    <row r="39" spans="1:9" s="587" customFormat="1" x14ac:dyDescent="0.55000000000000004">
      <c r="A39" s="609"/>
      <c r="B39" s="581" t="s">
        <v>917</v>
      </c>
      <c r="C39" s="576"/>
      <c r="D39" s="576"/>
      <c r="E39" s="579">
        <v>1000</v>
      </c>
      <c r="F39" s="579">
        <v>70</v>
      </c>
      <c r="G39" s="580">
        <f>E39*F39</f>
        <v>70000</v>
      </c>
      <c r="H39" s="781"/>
      <c r="I39" s="781">
        <f>50*2*1000</f>
        <v>100000</v>
      </c>
    </row>
    <row r="40" spans="1:9" s="587" customFormat="1" x14ac:dyDescent="0.55000000000000004">
      <c r="A40" s="609"/>
      <c r="B40" s="582" t="s">
        <v>918</v>
      </c>
      <c r="C40" s="576"/>
      <c r="D40" s="576"/>
      <c r="E40" s="576">
        <v>40</v>
      </c>
      <c r="F40" s="579">
        <v>2500</v>
      </c>
      <c r="G40" s="580">
        <f>E40*F40</f>
        <v>100000</v>
      </c>
      <c r="H40" s="781"/>
      <c r="I40" s="781">
        <f>550*1000</f>
        <v>550000</v>
      </c>
    </row>
    <row r="41" spans="1:9" x14ac:dyDescent="0.55000000000000004">
      <c r="A41" s="601"/>
      <c r="B41" s="582" t="s">
        <v>919</v>
      </c>
      <c r="C41" s="576"/>
      <c r="D41" s="576"/>
      <c r="E41" s="576">
        <v>140</v>
      </c>
      <c r="F41" s="579">
        <v>1200</v>
      </c>
      <c r="G41" s="580">
        <f>E41*F41</f>
        <v>168000</v>
      </c>
      <c r="I41" s="781">
        <f>1000*5*2*12</f>
        <v>120000</v>
      </c>
    </row>
    <row r="42" spans="1:9" x14ac:dyDescent="0.55000000000000004">
      <c r="A42" s="601"/>
      <c r="B42" s="582" t="s">
        <v>920</v>
      </c>
      <c r="C42" s="576"/>
      <c r="D42" s="576"/>
      <c r="E42" s="576">
        <v>20</v>
      </c>
      <c r="F42" s="579">
        <v>1200</v>
      </c>
      <c r="G42" s="580">
        <f>F42*E42</f>
        <v>24000</v>
      </c>
    </row>
    <row r="43" spans="1:9" s="590" customFormat="1" x14ac:dyDescent="0.55000000000000004">
      <c r="A43" s="610"/>
      <c r="B43" s="582" t="s">
        <v>921</v>
      </c>
      <c r="C43" s="576"/>
      <c r="D43" s="576">
        <v>10</v>
      </c>
      <c r="E43" s="576">
        <v>20</v>
      </c>
      <c r="F43" s="579">
        <v>240</v>
      </c>
      <c r="G43" s="580">
        <f>D43*E43*F43</f>
        <v>48000</v>
      </c>
      <c r="H43" s="782"/>
      <c r="I43" s="782"/>
    </row>
    <row r="44" spans="1:9" x14ac:dyDescent="0.55000000000000004">
      <c r="A44" s="601"/>
      <c r="B44" s="583" t="s">
        <v>922</v>
      </c>
      <c r="C44" s="576"/>
      <c r="D44" s="576"/>
      <c r="E44" s="576">
        <v>2000</v>
      </c>
      <c r="F44" s="579">
        <v>50</v>
      </c>
      <c r="G44" s="580">
        <f>E44*F44</f>
        <v>100000</v>
      </c>
      <c r="I44" s="781">
        <f>10000*12*1</f>
        <v>120000</v>
      </c>
    </row>
    <row r="45" spans="1:9" x14ac:dyDescent="0.55000000000000004">
      <c r="A45" s="601"/>
      <c r="B45" s="584" t="s">
        <v>923</v>
      </c>
      <c r="C45" s="576"/>
      <c r="D45" s="576"/>
      <c r="E45" s="576">
        <v>1000</v>
      </c>
      <c r="F45" s="579">
        <v>550</v>
      </c>
      <c r="G45" s="580">
        <f>E45*F45</f>
        <v>550000</v>
      </c>
      <c r="I45" s="781">
        <f>70*1000</f>
        <v>70000</v>
      </c>
    </row>
    <row r="46" spans="1:9" x14ac:dyDescent="0.55000000000000004">
      <c r="A46" s="601"/>
      <c r="B46" s="582" t="s">
        <v>924</v>
      </c>
      <c r="C46" s="576"/>
      <c r="D46" s="576">
        <v>5</v>
      </c>
      <c r="E46" s="576">
        <v>20</v>
      </c>
      <c r="F46" s="579">
        <v>1000</v>
      </c>
      <c r="G46" s="580">
        <f>D46*E46*F46</f>
        <v>100000</v>
      </c>
      <c r="I46" s="781">
        <f>2*2500*12*2</f>
        <v>120000</v>
      </c>
    </row>
    <row r="47" spans="1:9" x14ac:dyDescent="0.55000000000000004">
      <c r="A47" s="601"/>
      <c r="B47" s="585" t="s">
        <v>925</v>
      </c>
      <c r="C47" s="565"/>
      <c r="D47" s="565"/>
      <c r="E47" s="576">
        <v>10</v>
      </c>
      <c r="F47" s="577">
        <v>10000</v>
      </c>
      <c r="G47" s="578">
        <f>F47*E47</f>
        <v>100000</v>
      </c>
      <c r="I47" s="781">
        <f>1200*7*2*12</f>
        <v>201600</v>
      </c>
    </row>
    <row r="48" spans="1:9" x14ac:dyDescent="0.55000000000000004">
      <c r="A48" s="601"/>
      <c r="B48" s="591" t="s">
        <v>926</v>
      </c>
      <c r="C48" s="565"/>
      <c r="D48" s="592"/>
      <c r="E48" s="593"/>
      <c r="F48" s="594"/>
      <c r="G48" s="595">
        <f>SUM(G49:G63)</f>
        <v>1366900</v>
      </c>
      <c r="I48" s="781">
        <f>1200*2*12</f>
        <v>28800</v>
      </c>
    </row>
    <row r="49" spans="1:9" x14ac:dyDescent="0.55000000000000004">
      <c r="A49" s="601"/>
      <c r="B49" s="582" t="s">
        <v>916</v>
      </c>
      <c r="C49" s="576"/>
      <c r="D49" s="576"/>
      <c r="E49" s="576">
        <v>10</v>
      </c>
      <c r="F49" s="579">
        <v>10000</v>
      </c>
      <c r="G49" s="580">
        <f>E49*F49</f>
        <v>100000</v>
      </c>
      <c r="I49" s="781">
        <f>240*10*12*2</f>
        <v>57600</v>
      </c>
    </row>
    <row r="50" spans="1:9" s="587" customFormat="1" x14ac:dyDescent="0.55000000000000004">
      <c r="A50" s="609"/>
      <c r="B50" s="581" t="s">
        <v>917</v>
      </c>
      <c r="C50" s="576"/>
      <c r="D50" s="576"/>
      <c r="E50" s="576">
        <v>1000</v>
      </c>
      <c r="F50" s="579">
        <v>70</v>
      </c>
      <c r="G50" s="580">
        <f>F50*E50</f>
        <v>70000</v>
      </c>
      <c r="H50" s="781"/>
      <c r="I50" s="781">
        <f>50*2*1000</f>
        <v>100000</v>
      </c>
    </row>
    <row r="51" spans="1:9" s="587" customFormat="1" x14ac:dyDescent="0.55000000000000004">
      <c r="A51" s="609"/>
      <c r="B51" s="582" t="s">
        <v>918</v>
      </c>
      <c r="C51" s="576"/>
      <c r="D51" s="576"/>
      <c r="E51" s="576">
        <v>40</v>
      </c>
      <c r="F51" s="579">
        <v>2500</v>
      </c>
      <c r="G51" s="580">
        <f>F51*E51</f>
        <v>100000</v>
      </c>
      <c r="H51" s="781"/>
      <c r="I51" s="781">
        <f>550*1000</f>
        <v>550000</v>
      </c>
    </row>
    <row r="52" spans="1:9" x14ac:dyDescent="0.55000000000000004">
      <c r="A52" s="601"/>
      <c r="B52" s="582" t="s">
        <v>919</v>
      </c>
      <c r="C52" s="576"/>
      <c r="D52" s="576"/>
      <c r="E52" s="576">
        <v>140</v>
      </c>
      <c r="F52" s="579">
        <v>1200</v>
      </c>
      <c r="G52" s="580">
        <f>F52*E52</f>
        <v>168000</v>
      </c>
      <c r="I52" s="781">
        <f>1000*5*2*12</f>
        <v>120000</v>
      </c>
    </row>
    <row r="53" spans="1:9" x14ac:dyDescent="0.55000000000000004">
      <c r="A53" s="601"/>
      <c r="B53" s="582" t="s">
        <v>920</v>
      </c>
      <c r="C53" s="576"/>
      <c r="D53" s="576"/>
      <c r="E53" s="576">
        <v>20</v>
      </c>
      <c r="F53" s="579">
        <v>1200</v>
      </c>
      <c r="G53" s="580">
        <f t="shared" ref="G53:G63" si="1">F53*E53</f>
        <v>24000</v>
      </c>
      <c r="I53" s="781">
        <f>2.5*3000</f>
        <v>7500</v>
      </c>
    </row>
    <row r="54" spans="1:9" x14ac:dyDescent="0.55000000000000004">
      <c r="A54" s="601"/>
      <c r="B54" s="582" t="s">
        <v>927</v>
      </c>
      <c r="C54" s="576"/>
      <c r="D54" s="576"/>
      <c r="E54" s="576">
        <v>20</v>
      </c>
      <c r="F54" s="579">
        <v>240</v>
      </c>
      <c r="G54" s="580">
        <f t="shared" si="1"/>
        <v>4800</v>
      </c>
      <c r="I54" s="781">
        <f>100*800</f>
        <v>80000</v>
      </c>
    </row>
    <row r="55" spans="1:9" x14ac:dyDescent="0.55000000000000004">
      <c r="A55" s="601"/>
      <c r="B55" s="583" t="s">
        <v>922</v>
      </c>
      <c r="C55" s="576"/>
      <c r="D55" s="576"/>
      <c r="E55" s="576">
        <v>2000</v>
      </c>
      <c r="F55" s="579">
        <v>50</v>
      </c>
      <c r="G55" s="580">
        <f t="shared" si="1"/>
        <v>100000</v>
      </c>
      <c r="I55" s="781">
        <f>6*600</f>
        <v>3600</v>
      </c>
    </row>
    <row r="56" spans="1:9" x14ac:dyDescent="0.55000000000000004">
      <c r="A56" s="601"/>
      <c r="B56" s="584" t="s">
        <v>923</v>
      </c>
      <c r="C56" s="576"/>
      <c r="D56" s="576"/>
      <c r="E56" s="576">
        <v>1000</v>
      </c>
      <c r="F56" s="579">
        <v>550</v>
      </c>
      <c r="G56" s="580">
        <f t="shared" si="1"/>
        <v>550000</v>
      </c>
      <c r="I56" s="781">
        <f>500*24</f>
        <v>12000</v>
      </c>
    </row>
    <row r="57" spans="1:9" x14ac:dyDescent="0.55000000000000004">
      <c r="A57" s="601"/>
      <c r="B57" s="582" t="s">
        <v>928</v>
      </c>
      <c r="C57" s="576"/>
      <c r="D57" s="576"/>
      <c r="E57" s="576">
        <v>20</v>
      </c>
      <c r="F57" s="579">
        <v>1000</v>
      </c>
      <c r="G57" s="580">
        <f t="shared" si="1"/>
        <v>20000</v>
      </c>
      <c r="I57" s="781">
        <f>30000*1</f>
        <v>30000</v>
      </c>
    </row>
    <row r="58" spans="1:9" x14ac:dyDescent="0.55000000000000004">
      <c r="A58" s="601"/>
      <c r="B58" s="582" t="s">
        <v>929</v>
      </c>
      <c r="C58" s="576"/>
      <c r="D58" s="576"/>
      <c r="E58" s="576">
        <v>2</v>
      </c>
      <c r="F58" s="579">
        <v>2400</v>
      </c>
      <c r="G58" s="580">
        <f t="shared" si="1"/>
        <v>4800</v>
      </c>
    </row>
    <row r="59" spans="1:9" s="587" customFormat="1" x14ac:dyDescent="0.55000000000000004">
      <c r="A59" s="609"/>
      <c r="B59" s="582" t="s">
        <v>930</v>
      </c>
      <c r="C59" s="576"/>
      <c r="D59" s="576"/>
      <c r="E59" s="576">
        <v>100</v>
      </c>
      <c r="F59" s="579">
        <v>700</v>
      </c>
      <c r="G59" s="580">
        <f t="shared" si="1"/>
        <v>70000</v>
      </c>
      <c r="H59" s="781"/>
      <c r="I59" s="781"/>
    </row>
    <row r="60" spans="1:9" s="587" customFormat="1" x14ac:dyDescent="0.55000000000000004">
      <c r="A60" s="609"/>
      <c r="B60" s="582" t="s">
        <v>931</v>
      </c>
      <c r="C60" s="576"/>
      <c r="D60" s="576"/>
      <c r="E60" s="576">
        <v>5</v>
      </c>
      <c r="F60" s="579">
        <v>660</v>
      </c>
      <c r="G60" s="580">
        <f t="shared" si="1"/>
        <v>3300</v>
      </c>
      <c r="H60" s="781"/>
      <c r="I60" s="781">
        <f>11*500</f>
        <v>5500</v>
      </c>
    </row>
    <row r="61" spans="1:9" s="587" customFormat="1" x14ac:dyDescent="0.55000000000000004">
      <c r="A61" s="609"/>
      <c r="B61" s="582" t="s">
        <v>932</v>
      </c>
      <c r="C61" s="576"/>
      <c r="D61" s="576"/>
      <c r="E61" s="576">
        <v>500</v>
      </c>
      <c r="F61" s="579">
        <v>24</v>
      </c>
      <c r="G61" s="580">
        <f t="shared" si="1"/>
        <v>12000</v>
      </c>
      <c r="H61" s="781"/>
      <c r="I61" s="781">
        <f>800*11</f>
        <v>8800</v>
      </c>
    </row>
    <row r="62" spans="1:9" s="587" customFormat="1" x14ac:dyDescent="0.55000000000000004">
      <c r="A62" s="609"/>
      <c r="B62" s="582" t="s">
        <v>933</v>
      </c>
      <c r="C62" s="576"/>
      <c r="D62" s="576"/>
      <c r="E62" s="576">
        <v>1</v>
      </c>
      <c r="F62" s="579">
        <v>40000</v>
      </c>
      <c r="G62" s="580">
        <f t="shared" si="1"/>
        <v>40000</v>
      </c>
      <c r="H62" s="781"/>
      <c r="I62" s="781">
        <f>11*800</f>
        <v>8800</v>
      </c>
    </row>
    <row r="63" spans="1:9" s="587" customFormat="1" x14ac:dyDescent="0.55000000000000004">
      <c r="A63" s="609"/>
      <c r="B63" s="585" t="s">
        <v>912</v>
      </c>
      <c r="C63" s="565"/>
      <c r="D63" s="565"/>
      <c r="E63" s="576">
        <v>10</v>
      </c>
      <c r="F63" s="577">
        <v>10000</v>
      </c>
      <c r="G63" s="580">
        <f t="shared" si="1"/>
        <v>100000</v>
      </c>
      <c r="H63" s="781"/>
      <c r="I63" s="781"/>
    </row>
    <row r="64" spans="1:9" s="587" customFormat="1" ht="24.75" customHeight="1" x14ac:dyDescent="0.55000000000000004">
      <c r="A64" s="609"/>
      <c r="B64" s="596" t="s">
        <v>243</v>
      </c>
      <c r="C64" s="576"/>
      <c r="D64" s="576"/>
      <c r="E64" s="576"/>
      <c r="F64" s="579"/>
      <c r="G64" s="589">
        <f>SUM(G65:G72)</f>
        <v>276300</v>
      </c>
      <c r="H64" s="781"/>
      <c r="I64" s="781">
        <f>11*800</f>
        <v>8800</v>
      </c>
    </row>
    <row r="65" spans="1:9" s="587" customFormat="1" x14ac:dyDescent="0.55000000000000004">
      <c r="A65" s="609"/>
      <c r="B65" s="582" t="s">
        <v>11</v>
      </c>
      <c r="C65" s="576">
        <v>11</v>
      </c>
      <c r="D65" s="576"/>
      <c r="E65" s="576"/>
      <c r="F65" s="579" t="s">
        <v>934</v>
      </c>
      <c r="G65" s="580">
        <f>I60</f>
        <v>5500</v>
      </c>
      <c r="H65" s="781"/>
      <c r="I65" s="781">
        <f>11*400</f>
        <v>4400</v>
      </c>
    </row>
    <row r="66" spans="1:9" s="587" customFormat="1" x14ac:dyDescent="0.55000000000000004">
      <c r="A66" s="609"/>
      <c r="B66" s="582" t="s">
        <v>935</v>
      </c>
      <c r="C66" s="576">
        <v>11</v>
      </c>
      <c r="D66" s="576"/>
      <c r="E66" s="576"/>
      <c r="F66" s="579">
        <v>800</v>
      </c>
      <c r="G66" s="580">
        <f>I61</f>
        <v>8800</v>
      </c>
      <c r="H66" s="781"/>
      <c r="I66" s="781">
        <f>11*800</f>
        <v>8800</v>
      </c>
    </row>
    <row r="67" spans="1:9" s="587" customFormat="1" x14ac:dyDescent="0.55000000000000004">
      <c r="A67" s="609"/>
      <c r="B67" s="582" t="s">
        <v>936</v>
      </c>
      <c r="C67" s="576"/>
      <c r="D67" s="576"/>
      <c r="E67" s="576"/>
      <c r="F67" s="579"/>
      <c r="G67" s="580"/>
      <c r="H67" s="781"/>
      <c r="I67" s="781"/>
    </row>
    <row r="68" spans="1:9" s="587" customFormat="1" x14ac:dyDescent="0.55000000000000004">
      <c r="A68" s="609"/>
      <c r="B68" s="582" t="s">
        <v>937</v>
      </c>
      <c r="C68" s="576"/>
      <c r="D68" s="576"/>
      <c r="E68" s="576"/>
      <c r="F68" s="579"/>
      <c r="G68" s="580"/>
      <c r="H68" s="781"/>
      <c r="I68" s="781"/>
    </row>
    <row r="69" spans="1:9" x14ac:dyDescent="0.55000000000000004">
      <c r="A69" s="601"/>
      <c r="B69" s="597" t="s">
        <v>938</v>
      </c>
      <c r="C69" s="576">
        <v>11</v>
      </c>
      <c r="D69" s="576"/>
      <c r="E69" s="576"/>
      <c r="F69" s="579">
        <v>800</v>
      </c>
      <c r="G69" s="580">
        <f>I64</f>
        <v>8800</v>
      </c>
    </row>
    <row r="70" spans="1:9" x14ac:dyDescent="0.55000000000000004">
      <c r="A70" s="601"/>
      <c r="B70" s="582" t="s">
        <v>939</v>
      </c>
      <c r="C70" s="576">
        <v>11</v>
      </c>
      <c r="D70" s="576"/>
      <c r="E70" s="576"/>
      <c r="F70" s="579">
        <v>400</v>
      </c>
      <c r="G70" s="580">
        <f>I65</f>
        <v>4400</v>
      </c>
    </row>
    <row r="71" spans="1:9" x14ac:dyDescent="0.55000000000000004">
      <c r="A71" s="601"/>
      <c r="B71" s="582" t="s">
        <v>940</v>
      </c>
      <c r="C71" s="576">
        <v>11</v>
      </c>
      <c r="D71" s="576"/>
      <c r="E71" s="576"/>
      <c r="F71" s="579">
        <v>800</v>
      </c>
      <c r="G71" s="580">
        <f>I66</f>
        <v>8800</v>
      </c>
    </row>
    <row r="72" spans="1:9" x14ac:dyDescent="0.55000000000000004">
      <c r="A72" s="602"/>
      <c r="B72" s="582" t="s">
        <v>941</v>
      </c>
      <c r="C72" s="576">
        <v>400</v>
      </c>
      <c r="D72" s="576"/>
      <c r="E72" s="576"/>
      <c r="F72" s="579">
        <v>600</v>
      </c>
      <c r="G72" s="580">
        <f>C72*F72</f>
        <v>240000</v>
      </c>
    </row>
    <row r="73" spans="1:9" x14ac:dyDescent="0.55000000000000004">
      <c r="B73" s="587"/>
      <c r="C73" s="587"/>
      <c r="D73" s="587"/>
      <c r="E73" s="587"/>
      <c r="F73" s="598"/>
      <c r="G73" s="599"/>
    </row>
    <row r="74" spans="1:9" s="497" customFormat="1" ht="18.75" x14ac:dyDescent="0.45">
      <c r="B74" s="553" t="s">
        <v>253</v>
      </c>
      <c r="C74" s="1"/>
      <c r="D74" s="1"/>
      <c r="E74" s="1"/>
      <c r="F74" s="1"/>
      <c r="G74" s="1"/>
      <c r="H74" s="783"/>
      <c r="I74" s="783"/>
    </row>
    <row r="75" spans="1:9" s="497" customFormat="1" ht="18.75" x14ac:dyDescent="0.45">
      <c r="H75" s="783"/>
      <c r="I75" s="783"/>
    </row>
  </sheetData>
  <mergeCells count="7">
    <mergeCell ref="F2:F4"/>
    <mergeCell ref="G2:G4"/>
    <mergeCell ref="B1:B4"/>
    <mergeCell ref="A1:A4"/>
    <mergeCell ref="C2:C4"/>
    <mergeCell ref="D2:D4"/>
    <mergeCell ref="E2:E4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abSelected="1" view="pageBreakPreview" zoomScale="150" zoomScaleNormal="150" zoomScaleSheetLayoutView="150" workbookViewId="0">
      <selection activeCell="G7" sqref="G7"/>
    </sheetView>
  </sheetViews>
  <sheetFormatPr defaultColWidth="8.375" defaultRowHeight="21.75" x14ac:dyDescent="0.5"/>
  <cols>
    <col min="1" max="1" width="4.75" style="23" customWidth="1"/>
    <col min="2" max="2" width="69.875" style="168" customWidth="1"/>
    <col min="3" max="3" width="6.125" style="166" hidden="1" customWidth="1"/>
    <col min="4" max="4" width="7.875" style="23" hidden="1" customWidth="1"/>
    <col min="5" max="5" width="10" style="166" hidden="1" customWidth="1"/>
    <col min="6" max="6" width="12.875" style="23" hidden="1" customWidth="1"/>
    <col min="7" max="7" width="17" style="167" customWidth="1"/>
    <col min="8" max="12" width="8.375" style="23"/>
    <col min="13" max="13" width="9.625" style="23" bestFit="1" customWidth="1"/>
    <col min="14" max="16384" width="8.375" style="23"/>
  </cols>
  <sheetData>
    <row r="1" spans="1:7" s="43" customFormat="1" ht="23.25" x14ac:dyDescent="0.5">
      <c r="A1" s="823" t="s">
        <v>16</v>
      </c>
      <c r="B1" s="823"/>
      <c r="C1" s="823"/>
      <c r="D1" s="823"/>
      <c r="E1" s="823"/>
      <c r="F1" s="823"/>
      <c r="G1" s="823"/>
    </row>
    <row r="3" spans="1:7" s="169" customFormat="1" ht="18.75" customHeight="1" x14ac:dyDescent="0.3">
      <c r="A3" s="835" t="s">
        <v>189</v>
      </c>
      <c r="B3" s="840" t="s">
        <v>1348</v>
      </c>
      <c r="C3" s="842"/>
      <c r="D3" s="842"/>
      <c r="E3" s="842"/>
      <c r="F3" s="842"/>
      <c r="G3" s="842"/>
    </row>
    <row r="4" spans="1:7" s="169" customFormat="1" ht="18.75" customHeight="1" x14ac:dyDescent="0.3">
      <c r="A4" s="836"/>
      <c r="B4" s="841"/>
      <c r="C4" s="838" t="s">
        <v>257</v>
      </c>
      <c r="D4" s="839" t="s">
        <v>190</v>
      </c>
      <c r="E4" s="839" t="s">
        <v>191</v>
      </c>
      <c r="F4" s="839" t="s">
        <v>192</v>
      </c>
      <c r="G4" s="834" t="s">
        <v>1</v>
      </c>
    </row>
    <row r="5" spans="1:7" s="169" customFormat="1" ht="43.5" customHeight="1" x14ac:dyDescent="0.3">
      <c r="A5" s="836"/>
      <c r="B5" s="841"/>
      <c r="C5" s="839" t="s">
        <v>193</v>
      </c>
      <c r="D5" s="839"/>
      <c r="E5" s="839"/>
      <c r="F5" s="839"/>
      <c r="G5" s="834"/>
    </row>
    <row r="6" spans="1:7" s="169" customFormat="1" ht="18.75" x14ac:dyDescent="0.3">
      <c r="A6" s="837"/>
      <c r="B6" s="171"/>
      <c r="C6" s="172"/>
      <c r="D6" s="170"/>
      <c r="E6" s="170"/>
      <c r="F6" s="170"/>
      <c r="G6" s="173"/>
    </row>
    <row r="7" spans="1:7" s="169" customFormat="1" ht="19.5" thickBot="1" x14ac:dyDescent="0.35">
      <c r="A7" s="208"/>
      <c r="B7" s="174" t="s">
        <v>2</v>
      </c>
      <c r="C7" s="176"/>
      <c r="D7" s="175"/>
      <c r="E7" s="175"/>
      <c r="F7" s="175"/>
      <c r="G7" s="177">
        <f>G8</f>
        <v>20000000</v>
      </c>
    </row>
    <row r="8" spans="1:7" ht="18.75" customHeight="1" thickTop="1" x14ac:dyDescent="0.5">
      <c r="A8" s="831">
        <v>1</v>
      </c>
      <c r="B8" s="182" t="s">
        <v>194</v>
      </c>
      <c r="C8" s="178"/>
      <c r="D8" s="179"/>
      <c r="E8" s="178"/>
      <c r="F8" s="179"/>
      <c r="G8" s="180">
        <f>G10+G15+G18+G25+G34+G44+G61+G62+G71</f>
        <v>20000000</v>
      </c>
    </row>
    <row r="9" spans="1:7" ht="18.75" customHeight="1" x14ac:dyDescent="0.5">
      <c r="A9" s="832"/>
      <c r="B9" s="182" t="s">
        <v>20</v>
      </c>
      <c r="C9" s="178"/>
      <c r="D9" s="179"/>
      <c r="E9" s="178"/>
      <c r="F9" s="179"/>
      <c r="G9" s="180">
        <f>G10+G15</f>
        <v>10674000</v>
      </c>
    </row>
    <row r="10" spans="1:7" x14ac:dyDescent="0.5">
      <c r="A10" s="832"/>
      <c r="B10" s="212" t="s">
        <v>195</v>
      </c>
      <c r="C10" s="186"/>
      <c r="D10" s="185"/>
      <c r="E10" s="186"/>
      <c r="F10" s="185"/>
      <c r="G10" s="187">
        <f>SUM(G11:G14)</f>
        <v>10350000</v>
      </c>
    </row>
    <row r="11" spans="1:7" x14ac:dyDescent="0.5">
      <c r="A11" s="832"/>
      <c r="B11" s="213" t="s">
        <v>1379</v>
      </c>
      <c r="C11" s="189">
        <v>1</v>
      </c>
      <c r="D11" s="189" t="s">
        <v>196</v>
      </c>
      <c r="E11" s="189">
        <v>5</v>
      </c>
      <c r="F11" s="190">
        <v>70000</v>
      </c>
      <c r="G11" s="190">
        <f>C11*E11*F11</f>
        <v>350000</v>
      </c>
    </row>
    <row r="12" spans="1:7" x14ac:dyDescent="0.5">
      <c r="A12" s="832"/>
      <c r="B12" s="213" t="s">
        <v>1380</v>
      </c>
      <c r="C12" s="189">
        <v>6</v>
      </c>
      <c r="D12" s="189" t="s">
        <v>197</v>
      </c>
      <c r="E12" s="189">
        <v>6</v>
      </c>
      <c r="F12" s="190">
        <v>60000</v>
      </c>
      <c r="G12" s="190">
        <f>C12*E12*F12</f>
        <v>2160000</v>
      </c>
    </row>
    <row r="13" spans="1:7" x14ac:dyDescent="0.5">
      <c r="A13" s="832"/>
      <c r="B13" s="213" t="s">
        <v>1381</v>
      </c>
      <c r="C13" s="189">
        <v>20</v>
      </c>
      <c r="D13" s="189" t="s">
        <v>198</v>
      </c>
      <c r="E13" s="189">
        <v>7</v>
      </c>
      <c r="F13" s="190">
        <v>25000</v>
      </c>
      <c r="G13" s="190">
        <f>C13*E13*F13</f>
        <v>3500000</v>
      </c>
    </row>
    <row r="14" spans="1:7" x14ac:dyDescent="0.5">
      <c r="A14" s="832"/>
      <c r="B14" s="213" t="s">
        <v>1382</v>
      </c>
      <c r="C14" s="189">
        <v>40</v>
      </c>
      <c r="D14" s="189" t="s">
        <v>199</v>
      </c>
      <c r="E14" s="189">
        <v>7</v>
      </c>
      <c r="F14" s="190">
        <v>15500</v>
      </c>
      <c r="G14" s="190">
        <f>C14*E14*F14</f>
        <v>4340000</v>
      </c>
    </row>
    <row r="15" spans="1:7" ht="18.75" customHeight="1" x14ac:dyDescent="0.5">
      <c r="A15" s="832"/>
      <c r="B15" s="212" t="s">
        <v>200</v>
      </c>
      <c r="C15" s="191"/>
      <c r="D15" s="191"/>
      <c r="E15" s="192"/>
      <c r="F15" s="191"/>
      <c r="G15" s="193">
        <f>G16</f>
        <v>324000</v>
      </c>
    </row>
    <row r="16" spans="1:7" ht="24" customHeight="1" x14ac:dyDescent="0.5">
      <c r="A16" s="833"/>
      <c r="B16" s="194" t="s">
        <v>1383</v>
      </c>
      <c r="C16" s="189">
        <v>2</v>
      </c>
      <c r="D16" s="189" t="s">
        <v>199</v>
      </c>
      <c r="E16" s="189">
        <v>9</v>
      </c>
      <c r="F16" s="190">
        <v>18000</v>
      </c>
      <c r="G16" s="190">
        <f>C16*E16*F16</f>
        <v>324000</v>
      </c>
    </row>
    <row r="17" spans="1:7" ht="21.75" customHeight="1" x14ac:dyDescent="0.5">
      <c r="A17" s="23">
        <v>2</v>
      </c>
      <c r="B17" s="184" t="s">
        <v>201</v>
      </c>
      <c r="C17" s="191"/>
      <c r="D17" s="191"/>
      <c r="E17" s="191"/>
      <c r="F17" s="191"/>
      <c r="G17" s="196"/>
    </row>
    <row r="18" spans="1:7" x14ac:dyDescent="0.5">
      <c r="B18" s="211" t="s">
        <v>259</v>
      </c>
      <c r="C18" s="191"/>
      <c r="D18" s="191"/>
      <c r="E18" s="191"/>
      <c r="F18" s="191"/>
      <c r="G18" s="197">
        <f>SUM(G19:G24)</f>
        <v>4057500</v>
      </c>
    </row>
    <row r="19" spans="1:7" ht="18.75" customHeight="1" x14ac:dyDescent="0.5">
      <c r="B19" s="188" t="s">
        <v>202</v>
      </c>
      <c r="C19" s="189">
        <v>10000</v>
      </c>
      <c r="D19" s="189"/>
      <c r="E19" s="189"/>
      <c r="F19" s="189">
        <v>5</v>
      </c>
      <c r="G19" s="190">
        <f>F19*C19</f>
        <v>50000</v>
      </c>
    </row>
    <row r="20" spans="1:7" x14ac:dyDescent="0.5">
      <c r="B20" s="188" t="s">
        <v>203</v>
      </c>
      <c r="C20" s="189">
        <v>7</v>
      </c>
      <c r="D20" s="189"/>
      <c r="E20" s="189"/>
      <c r="F20" s="189">
        <v>2000</v>
      </c>
      <c r="G20" s="190">
        <f>F20*C20</f>
        <v>14000</v>
      </c>
    </row>
    <row r="21" spans="1:7" x14ac:dyDescent="0.5">
      <c r="B21" s="198" t="s">
        <v>204</v>
      </c>
      <c r="C21" s="189">
        <v>7</v>
      </c>
      <c r="D21" s="189"/>
      <c r="E21" s="189">
        <v>7</v>
      </c>
      <c r="F21" s="189">
        <v>3000</v>
      </c>
      <c r="G21" s="190">
        <f>F21*E21*C21</f>
        <v>147000</v>
      </c>
    </row>
    <row r="22" spans="1:7" ht="22.5" customHeight="1" x14ac:dyDescent="0.5">
      <c r="B22" s="198" t="s">
        <v>205</v>
      </c>
      <c r="C22" s="189">
        <v>7</v>
      </c>
      <c r="D22" s="189"/>
      <c r="E22" s="189">
        <v>7</v>
      </c>
      <c r="F22" s="189">
        <v>70000</v>
      </c>
      <c r="G22" s="190">
        <f>F22*E22*C22</f>
        <v>3430000</v>
      </c>
    </row>
    <row r="23" spans="1:7" ht="21.75" customHeight="1" x14ac:dyDescent="0.5">
      <c r="B23" s="198" t="s">
        <v>206</v>
      </c>
      <c r="C23" s="189">
        <v>7</v>
      </c>
      <c r="D23" s="189"/>
      <c r="E23" s="189">
        <v>7</v>
      </c>
      <c r="F23" s="189">
        <v>3500</v>
      </c>
      <c r="G23" s="190">
        <f>F23*E23*C23</f>
        <v>171500</v>
      </c>
    </row>
    <row r="24" spans="1:7" x14ac:dyDescent="0.5">
      <c r="B24" s="199" t="s">
        <v>207</v>
      </c>
      <c r="C24" s="189">
        <v>7</v>
      </c>
      <c r="D24" s="189"/>
      <c r="E24" s="189">
        <v>7</v>
      </c>
      <c r="F24" s="189">
        <v>5000</v>
      </c>
      <c r="G24" s="190">
        <f>F24*E24*C24</f>
        <v>245000</v>
      </c>
    </row>
    <row r="25" spans="1:7" ht="51.75" customHeight="1" x14ac:dyDescent="0.5">
      <c r="B25" s="210" t="s">
        <v>258</v>
      </c>
      <c r="C25" s="200"/>
      <c r="D25" s="200"/>
      <c r="E25" s="200"/>
      <c r="F25" s="200"/>
      <c r="G25" s="197">
        <f>SUM(G26:G33)</f>
        <v>382600</v>
      </c>
    </row>
    <row r="26" spans="1:7" x14ac:dyDescent="0.5">
      <c r="B26" s="198" t="s">
        <v>208</v>
      </c>
      <c r="C26" s="200">
        <v>25</v>
      </c>
      <c r="D26" s="200"/>
      <c r="E26" s="200">
        <v>8</v>
      </c>
      <c r="F26" s="200">
        <v>500</v>
      </c>
      <c r="G26" s="190">
        <f>F26*E26*C26</f>
        <v>100000</v>
      </c>
    </row>
    <row r="27" spans="1:7" x14ac:dyDescent="0.5">
      <c r="B27" s="198" t="s">
        <v>209</v>
      </c>
      <c r="C27" s="200">
        <v>25</v>
      </c>
      <c r="D27" s="200"/>
      <c r="E27" s="200">
        <v>16</v>
      </c>
      <c r="F27" s="200">
        <v>50</v>
      </c>
      <c r="G27" s="190">
        <f>F27*E27*C27</f>
        <v>20000</v>
      </c>
    </row>
    <row r="28" spans="1:7" x14ac:dyDescent="0.5">
      <c r="B28" s="198" t="s">
        <v>210</v>
      </c>
      <c r="C28" s="200">
        <v>2</v>
      </c>
      <c r="D28" s="200"/>
      <c r="E28" s="200">
        <v>48</v>
      </c>
      <c r="F28" s="200">
        <v>600</v>
      </c>
      <c r="G28" s="190">
        <f>F28*E28*C28</f>
        <v>57600</v>
      </c>
    </row>
    <row r="29" spans="1:7" x14ac:dyDescent="0.5">
      <c r="B29" s="198" t="s">
        <v>211</v>
      </c>
      <c r="C29" s="200"/>
      <c r="D29" s="200"/>
      <c r="E29" s="200">
        <v>8</v>
      </c>
      <c r="F29" s="200">
        <v>3500</v>
      </c>
      <c r="G29" s="190">
        <f>F29*E29</f>
        <v>28000</v>
      </c>
    </row>
    <row r="30" spans="1:7" x14ac:dyDescent="0.5">
      <c r="B30" s="198" t="s">
        <v>212</v>
      </c>
      <c r="C30" s="200">
        <v>25</v>
      </c>
      <c r="D30" s="200"/>
      <c r="E30" s="200">
        <v>8</v>
      </c>
      <c r="F30" s="200">
        <v>70</v>
      </c>
      <c r="G30" s="190">
        <f>F30*E30*C30</f>
        <v>14000</v>
      </c>
    </row>
    <row r="31" spans="1:7" x14ac:dyDescent="0.5">
      <c r="B31" s="198" t="s">
        <v>213</v>
      </c>
      <c r="C31" s="200">
        <v>2</v>
      </c>
      <c r="D31" s="200"/>
      <c r="E31" s="200">
        <v>8</v>
      </c>
      <c r="F31" s="200">
        <v>2500</v>
      </c>
      <c r="G31" s="190">
        <f>F31*E31*C31</f>
        <v>40000</v>
      </c>
    </row>
    <row r="32" spans="1:7" ht="18.75" customHeight="1" x14ac:dyDescent="0.5">
      <c r="B32" s="198" t="s">
        <v>214</v>
      </c>
      <c r="C32" s="189">
        <v>5</v>
      </c>
      <c r="D32" s="189"/>
      <c r="E32" s="189">
        <v>3</v>
      </c>
      <c r="F32" s="189">
        <v>5000</v>
      </c>
      <c r="G32" s="190">
        <f>F32*E32*C32</f>
        <v>75000</v>
      </c>
    </row>
    <row r="33" spans="2:7" x14ac:dyDescent="0.5">
      <c r="B33" s="198" t="s">
        <v>215</v>
      </c>
      <c r="C33" s="189">
        <v>5</v>
      </c>
      <c r="D33" s="189"/>
      <c r="E33" s="189">
        <v>8</v>
      </c>
      <c r="F33" s="189">
        <v>1200</v>
      </c>
      <c r="G33" s="190">
        <f>F33*E33*C33</f>
        <v>48000</v>
      </c>
    </row>
    <row r="34" spans="2:7" x14ac:dyDescent="0.5">
      <c r="B34" s="209" t="s">
        <v>216</v>
      </c>
      <c r="C34" s="200"/>
      <c r="D34" s="200"/>
      <c r="E34" s="200"/>
      <c r="F34" s="200"/>
      <c r="G34" s="197">
        <f>SUM(G35:G43)</f>
        <v>795900</v>
      </c>
    </row>
    <row r="35" spans="2:7" x14ac:dyDescent="0.5">
      <c r="B35" s="198" t="s">
        <v>217</v>
      </c>
      <c r="C35" s="189">
        <v>1000</v>
      </c>
      <c r="D35" s="189"/>
      <c r="E35" s="189"/>
      <c r="F35" s="189">
        <v>100</v>
      </c>
      <c r="G35" s="190">
        <f>F35*C35</f>
        <v>100000</v>
      </c>
    </row>
    <row r="36" spans="2:7" x14ac:dyDescent="0.5">
      <c r="B36" s="198" t="s">
        <v>218</v>
      </c>
      <c r="C36" s="189">
        <v>100</v>
      </c>
      <c r="D36" s="189"/>
      <c r="E36" s="189">
        <v>7</v>
      </c>
      <c r="F36" s="189">
        <v>500</v>
      </c>
      <c r="G36" s="190">
        <f>F36*E36*C36</f>
        <v>350000</v>
      </c>
    </row>
    <row r="37" spans="2:7" x14ac:dyDescent="0.5">
      <c r="B37" s="198" t="s">
        <v>219</v>
      </c>
      <c r="C37" s="189">
        <v>100</v>
      </c>
      <c r="D37" s="189"/>
      <c r="E37" s="189">
        <v>14</v>
      </c>
      <c r="F37" s="189">
        <v>50</v>
      </c>
      <c r="G37" s="190">
        <f>F37*E37*C37</f>
        <v>70000</v>
      </c>
    </row>
    <row r="38" spans="2:7" x14ac:dyDescent="0.5">
      <c r="B38" s="198" t="s">
        <v>220</v>
      </c>
      <c r="C38" s="189">
        <v>6</v>
      </c>
      <c r="D38" s="189"/>
      <c r="E38" s="189">
        <v>7</v>
      </c>
      <c r="F38" s="189">
        <v>1200</v>
      </c>
      <c r="G38" s="190">
        <f>F38*E38*C38</f>
        <v>50400</v>
      </c>
    </row>
    <row r="39" spans="2:7" x14ac:dyDescent="0.5">
      <c r="B39" s="198" t="s">
        <v>221</v>
      </c>
      <c r="C39" s="189"/>
      <c r="D39" s="189"/>
      <c r="E39" s="189">
        <v>7</v>
      </c>
      <c r="F39" s="189">
        <v>3500</v>
      </c>
      <c r="G39" s="190">
        <f>F39*E39</f>
        <v>24500</v>
      </c>
    </row>
    <row r="40" spans="2:7" x14ac:dyDescent="0.5">
      <c r="B40" s="198" t="s">
        <v>222</v>
      </c>
      <c r="C40" s="189">
        <v>100</v>
      </c>
      <c r="D40" s="189"/>
      <c r="E40" s="189">
        <v>7</v>
      </c>
      <c r="F40" s="189">
        <v>70</v>
      </c>
      <c r="G40" s="190">
        <f>F40*E40*C40</f>
        <v>49000</v>
      </c>
    </row>
    <row r="41" spans="2:7" x14ac:dyDescent="0.5">
      <c r="B41" s="198" t="s">
        <v>223</v>
      </c>
      <c r="C41" s="189">
        <v>2</v>
      </c>
      <c r="D41" s="189"/>
      <c r="E41" s="189">
        <v>7</v>
      </c>
      <c r="F41" s="189">
        <v>2500</v>
      </c>
      <c r="G41" s="190">
        <f>F41*E41*C41</f>
        <v>35000</v>
      </c>
    </row>
    <row r="42" spans="2:7" x14ac:dyDescent="0.5">
      <c r="B42" s="198" t="s">
        <v>214</v>
      </c>
      <c r="C42" s="189">
        <v>5</v>
      </c>
      <c r="D42" s="189"/>
      <c r="E42" s="189">
        <v>3</v>
      </c>
      <c r="F42" s="189">
        <v>5000</v>
      </c>
      <c r="G42" s="190">
        <f>F42*E42*C42</f>
        <v>75000</v>
      </c>
    </row>
    <row r="43" spans="2:7" ht="18" customHeight="1" x14ac:dyDescent="0.5">
      <c r="B43" s="198" t="s">
        <v>224</v>
      </c>
      <c r="C43" s="189">
        <v>5</v>
      </c>
      <c r="D43" s="189"/>
      <c r="E43" s="189">
        <v>7</v>
      </c>
      <c r="F43" s="189">
        <v>1200</v>
      </c>
      <c r="G43" s="190">
        <f>F43*E43*C43</f>
        <v>42000</v>
      </c>
    </row>
    <row r="44" spans="2:7" ht="82.5" customHeight="1" x14ac:dyDescent="0.5">
      <c r="B44" s="204" t="s">
        <v>225</v>
      </c>
      <c r="C44" s="200"/>
      <c r="D44" s="200"/>
      <c r="E44" s="200"/>
      <c r="F44" s="200"/>
      <c r="G44" s="197">
        <f>SUM(G45:G60)</f>
        <v>3888600</v>
      </c>
    </row>
    <row r="45" spans="2:7" ht="18" customHeight="1" x14ac:dyDescent="0.5">
      <c r="B45" s="198" t="s">
        <v>226</v>
      </c>
      <c r="C45" s="200">
        <v>10000</v>
      </c>
      <c r="D45" s="200"/>
      <c r="E45" s="200"/>
      <c r="F45" s="200">
        <v>100</v>
      </c>
      <c r="G45" s="190">
        <f>F45*C45</f>
        <v>1000000</v>
      </c>
    </row>
    <row r="46" spans="2:7" ht="18" customHeight="1" x14ac:dyDescent="0.5">
      <c r="B46" s="198" t="s">
        <v>227</v>
      </c>
      <c r="C46" s="200">
        <v>10000</v>
      </c>
      <c r="D46" s="200"/>
      <c r="E46" s="200"/>
      <c r="F46" s="200">
        <v>50</v>
      </c>
      <c r="G46" s="190">
        <f>F46*C46</f>
        <v>500000</v>
      </c>
    </row>
    <row r="47" spans="2:7" ht="18" customHeight="1" x14ac:dyDescent="0.5">
      <c r="B47" s="198" t="s">
        <v>228</v>
      </c>
      <c r="C47" s="200">
        <v>154</v>
      </c>
      <c r="D47" s="200"/>
      <c r="E47" s="200"/>
      <c r="F47" s="200">
        <v>2500</v>
      </c>
      <c r="G47" s="190">
        <f>F47*C47</f>
        <v>385000</v>
      </c>
    </row>
    <row r="48" spans="2:7" ht="18" customHeight="1" x14ac:dyDescent="0.5">
      <c r="B48" s="198" t="s">
        <v>229</v>
      </c>
      <c r="C48" s="200">
        <v>2</v>
      </c>
      <c r="D48" s="200"/>
      <c r="E48" s="200">
        <v>12</v>
      </c>
      <c r="F48" s="200">
        <v>5000</v>
      </c>
      <c r="G48" s="190">
        <f>F48*E48*C48</f>
        <v>120000</v>
      </c>
    </row>
    <row r="49" spans="2:7" ht="18" customHeight="1" x14ac:dyDescent="0.5">
      <c r="B49" s="198" t="s">
        <v>230</v>
      </c>
      <c r="C49" s="200">
        <v>2</v>
      </c>
      <c r="D49" s="200"/>
      <c r="E49" s="200">
        <v>24</v>
      </c>
      <c r="F49" s="200">
        <v>1200</v>
      </c>
      <c r="G49" s="190">
        <f>F49*E49*C49</f>
        <v>57600</v>
      </c>
    </row>
    <row r="50" spans="2:7" ht="18" customHeight="1" x14ac:dyDescent="0.5">
      <c r="B50" s="198" t="s">
        <v>231</v>
      </c>
      <c r="C50" s="200">
        <v>9000</v>
      </c>
      <c r="D50" s="200"/>
      <c r="E50" s="200"/>
      <c r="F50" s="200">
        <v>70</v>
      </c>
      <c r="G50" s="190">
        <f>F50*C50</f>
        <v>630000</v>
      </c>
    </row>
    <row r="51" spans="2:7" ht="18" customHeight="1" x14ac:dyDescent="0.5">
      <c r="B51" s="198" t="s">
        <v>232</v>
      </c>
      <c r="C51" s="200"/>
      <c r="D51" s="200"/>
      <c r="E51" s="200"/>
      <c r="F51" s="200"/>
      <c r="G51" s="190"/>
    </row>
    <row r="52" spans="2:7" ht="18" customHeight="1" x14ac:dyDescent="0.5">
      <c r="B52" s="198" t="s">
        <v>233</v>
      </c>
      <c r="C52" s="200">
        <v>30</v>
      </c>
      <c r="D52" s="200"/>
      <c r="E52" s="200">
        <v>20</v>
      </c>
      <c r="F52" s="200">
        <v>500</v>
      </c>
      <c r="G52" s="190">
        <f>F52*E52*C52</f>
        <v>300000</v>
      </c>
    </row>
    <row r="53" spans="2:7" ht="18" customHeight="1" x14ac:dyDescent="0.5">
      <c r="B53" s="198" t="s">
        <v>234</v>
      </c>
      <c r="C53" s="200">
        <v>30</v>
      </c>
      <c r="D53" s="200"/>
      <c r="E53" s="200">
        <v>40</v>
      </c>
      <c r="F53" s="200">
        <v>50</v>
      </c>
      <c r="G53" s="190">
        <f>F53*E53*C53</f>
        <v>60000</v>
      </c>
    </row>
    <row r="54" spans="2:7" ht="18" customHeight="1" x14ac:dyDescent="0.5">
      <c r="B54" s="198" t="s">
        <v>235</v>
      </c>
      <c r="C54" s="200"/>
      <c r="D54" s="200"/>
      <c r="E54" s="200">
        <v>20</v>
      </c>
      <c r="F54" s="200">
        <v>3500</v>
      </c>
      <c r="G54" s="190">
        <f>F54*E54</f>
        <v>70000</v>
      </c>
    </row>
    <row r="55" spans="2:7" ht="18" customHeight="1" x14ac:dyDescent="0.5">
      <c r="B55" s="198" t="s">
        <v>236</v>
      </c>
      <c r="C55" s="189">
        <v>30</v>
      </c>
      <c r="D55" s="189"/>
      <c r="E55" s="189">
        <v>20</v>
      </c>
      <c r="F55" s="189">
        <v>70</v>
      </c>
      <c r="G55" s="190">
        <f>F55*E55*C55</f>
        <v>42000</v>
      </c>
    </row>
    <row r="56" spans="2:7" ht="18" customHeight="1" x14ac:dyDescent="0.5">
      <c r="B56" s="198" t="s">
        <v>237</v>
      </c>
      <c r="C56" s="189">
        <v>6</v>
      </c>
      <c r="D56" s="189"/>
      <c r="E56" s="189">
        <v>20</v>
      </c>
      <c r="F56" s="189">
        <v>1200</v>
      </c>
      <c r="G56" s="190">
        <f>F56*E56*C56</f>
        <v>144000</v>
      </c>
    </row>
    <row r="57" spans="2:7" ht="18" customHeight="1" x14ac:dyDescent="0.5">
      <c r="B57" s="198" t="s">
        <v>238</v>
      </c>
      <c r="C57" s="189">
        <v>2</v>
      </c>
      <c r="D57" s="189"/>
      <c r="E57" s="189">
        <v>14</v>
      </c>
      <c r="F57" s="189">
        <v>2500</v>
      </c>
      <c r="G57" s="190">
        <f>F57*E57*C57</f>
        <v>70000</v>
      </c>
    </row>
    <row r="58" spans="2:7" ht="18" customHeight="1" x14ac:dyDescent="0.5">
      <c r="B58" s="198" t="s">
        <v>239</v>
      </c>
      <c r="C58" s="189">
        <v>5</v>
      </c>
      <c r="D58" s="189"/>
      <c r="E58" s="189">
        <v>6</v>
      </c>
      <c r="F58" s="189">
        <v>5000</v>
      </c>
      <c r="G58" s="190">
        <f>F58*E58*C58</f>
        <v>150000</v>
      </c>
    </row>
    <row r="59" spans="2:7" ht="18" customHeight="1" x14ac:dyDescent="0.5">
      <c r="B59" s="198" t="s">
        <v>240</v>
      </c>
      <c r="C59" s="189">
        <v>5</v>
      </c>
      <c r="D59" s="189"/>
      <c r="E59" s="189">
        <v>20</v>
      </c>
      <c r="F59" s="189">
        <v>1200</v>
      </c>
      <c r="G59" s="190">
        <f>F59*E59*C59</f>
        <v>120000</v>
      </c>
    </row>
    <row r="60" spans="2:7" ht="18" customHeight="1" x14ac:dyDescent="0.5">
      <c r="B60" s="198" t="s">
        <v>241</v>
      </c>
      <c r="C60" s="189" t="s">
        <v>242</v>
      </c>
      <c r="D60" s="189"/>
      <c r="E60" s="189"/>
      <c r="F60" s="189"/>
      <c r="G60" s="190">
        <v>240000</v>
      </c>
    </row>
    <row r="61" spans="2:7" ht="20.25" customHeight="1" x14ac:dyDescent="0.5">
      <c r="B61" s="214" t="s">
        <v>260</v>
      </c>
      <c r="C61" s="189" t="s">
        <v>242</v>
      </c>
      <c r="D61" s="200"/>
      <c r="E61" s="200"/>
      <c r="F61" s="200"/>
      <c r="G61" s="197">
        <v>115000</v>
      </c>
    </row>
    <row r="62" spans="2:7" x14ac:dyDescent="0.5">
      <c r="B62" s="212" t="s">
        <v>243</v>
      </c>
      <c r="C62" s="191"/>
      <c r="D62" s="191"/>
      <c r="E62" s="191"/>
      <c r="F62" s="191"/>
      <c r="G62" s="197">
        <f>SUM(G63:G70)</f>
        <v>81650</v>
      </c>
    </row>
    <row r="63" spans="2:7" x14ac:dyDescent="0.5">
      <c r="B63" s="201" t="s">
        <v>244</v>
      </c>
      <c r="C63" s="189">
        <v>14</v>
      </c>
      <c r="D63" s="189"/>
      <c r="E63" s="189"/>
      <c r="F63" s="189">
        <v>600</v>
      </c>
      <c r="G63" s="190">
        <f>F63*C63</f>
        <v>8400</v>
      </c>
    </row>
    <row r="64" spans="2:7" x14ac:dyDescent="0.5">
      <c r="B64" s="201" t="s">
        <v>245</v>
      </c>
      <c r="C64" s="189">
        <v>14</v>
      </c>
      <c r="D64" s="189"/>
      <c r="E64" s="189"/>
      <c r="F64" s="189">
        <v>800</v>
      </c>
      <c r="G64" s="190">
        <f>F64*C64</f>
        <v>11200</v>
      </c>
    </row>
    <row r="65" spans="2:7" x14ac:dyDescent="0.5">
      <c r="B65" s="201" t="s">
        <v>246</v>
      </c>
      <c r="C65" s="189">
        <v>14</v>
      </c>
      <c r="D65" s="189"/>
      <c r="E65" s="189"/>
      <c r="F65" s="189">
        <v>1000</v>
      </c>
      <c r="G65" s="190">
        <f>F65*C65</f>
        <v>14000</v>
      </c>
    </row>
    <row r="66" spans="2:7" x14ac:dyDescent="0.5">
      <c r="B66" s="201" t="s">
        <v>247</v>
      </c>
      <c r="C66" s="189">
        <v>14</v>
      </c>
      <c r="D66" s="189"/>
      <c r="E66" s="189"/>
      <c r="F66" s="189">
        <v>1300</v>
      </c>
      <c r="G66" s="190">
        <f>F66*C66</f>
        <v>18200</v>
      </c>
    </row>
    <row r="67" spans="2:7" x14ac:dyDescent="0.5">
      <c r="B67" s="201" t="s">
        <v>248</v>
      </c>
      <c r="C67" s="189"/>
      <c r="D67" s="189"/>
      <c r="E67" s="189"/>
      <c r="F67" s="189"/>
      <c r="G67" s="190"/>
    </row>
    <row r="68" spans="2:7" x14ac:dyDescent="0.5">
      <c r="B68" s="201" t="s">
        <v>249</v>
      </c>
      <c r="C68" s="189">
        <v>14</v>
      </c>
      <c r="D68" s="189"/>
      <c r="E68" s="189"/>
      <c r="F68" s="189">
        <v>1700</v>
      </c>
      <c r="G68" s="190">
        <f>F68*C68</f>
        <v>23800</v>
      </c>
    </row>
    <row r="69" spans="2:7" x14ac:dyDescent="0.5">
      <c r="B69" s="201" t="s">
        <v>250</v>
      </c>
      <c r="C69" s="189">
        <v>10</v>
      </c>
      <c r="D69" s="189"/>
      <c r="E69" s="189"/>
      <c r="F69" s="189">
        <v>600</v>
      </c>
      <c r="G69" s="190">
        <f>F69*C69</f>
        <v>6000</v>
      </c>
    </row>
    <row r="70" spans="2:7" x14ac:dyDescent="0.5">
      <c r="B70" s="201" t="s">
        <v>251</v>
      </c>
      <c r="C70" s="189">
        <v>5</v>
      </c>
      <c r="D70" s="189"/>
      <c r="E70" s="189"/>
      <c r="F70" s="189">
        <v>10</v>
      </c>
      <c r="G70" s="190">
        <f>F70*C70</f>
        <v>50</v>
      </c>
    </row>
    <row r="71" spans="2:7" x14ac:dyDescent="0.5">
      <c r="B71" s="202" t="s">
        <v>252</v>
      </c>
      <c r="C71" s="200" t="s">
        <v>242</v>
      </c>
      <c r="D71" s="200"/>
      <c r="E71" s="200"/>
      <c r="F71" s="200"/>
      <c r="G71" s="197">
        <v>4750</v>
      </c>
    </row>
    <row r="72" spans="2:7" x14ac:dyDescent="0.5">
      <c r="B72" s="203"/>
    </row>
  </sheetData>
  <mergeCells count="10">
    <mergeCell ref="A8:A16"/>
    <mergeCell ref="G4:G5"/>
    <mergeCell ref="A1:G1"/>
    <mergeCell ref="A3:A6"/>
    <mergeCell ref="C4:C5"/>
    <mergeCell ref="D4:D5"/>
    <mergeCell ref="E4:E5"/>
    <mergeCell ref="F4:F5"/>
    <mergeCell ref="B3:B5"/>
    <mergeCell ref="C3:G3"/>
  </mergeCells>
  <pageMargins left="0.31496062992125984" right="0.31496062992125984" top="0.74803149606299213" bottom="0.55118110236220474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view="pageBreakPreview" zoomScale="110" zoomScaleNormal="100" zoomScaleSheetLayoutView="110" workbookViewId="0">
      <selection activeCell="G17" sqref="G17"/>
    </sheetView>
  </sheetViews>
  <sheetFormatPr defaultColWidth="8.375" defaultRowHeight="21.75" x14ac:dyDescent="0.5"/>
  <cols>
    <col min="1" max="1" width="4.125" style="23" customWidth="1"/>
    <col min="2" max="2" width="74.75" style="168" customWidth="1"/>
    <col min="3" max="3" width="6.875" style="166" hidden="1" customWidth="1"/>
    <col min="4" max="4" width="7.375" style="23" hidden="1" customWidth="1"/>
    <col min="5" max="5" width="7.625" style="166" hidden="1" customWidth="1"/>
    <col min="6" max="6" width="9.25" style="23" hidden="1" customWidth="1"/>
    <col min="7" max="7" width="12.375" style="215" customWidth="1"/>
    <col min="8" max="16384" width="8.375" style="23"/>
  </cols>
  <sheetData>
    <row r="1" spans="1:7" s="43" customFormat="1" ht="24" thickBot="1" x14ac:dyDescent="0.55000000000000004">
      <c r="A1" s="823" t="s">
        <v>16</v>
      </c>
      <c r="B1" s="823"/>
      <c r="C1" s="823"/>
      <c r="D1" s="823"/>
      <c r="E1" s="823"/>
      <c r="F1" s="823"/>
      <c r="G1" s="823"/>
    </row>
    <row r="2" spans="1:7" s="169" customFormat="1" ht="18.75" customHeight="1" x14ac:dyDescent="0.3">
      <c r="A2" s="792"/>
      <c r="B2" s="847" t="s">
        <v>1349</v>
      </c>
      <c r="C2" s="814"/>
      <c r="D2" s="787"/>
      <c r="E2" s="787"/>
      <c r="F2" s="787"/>
      <c r="G2" s="849" t="s">
        <v>1</v>
      </c>
    </row>
    <row r="3" spans="1:7" s="169" customFormat="1" ht="18" customHeight="1" x14ac:dyDescent="0.3">
      <c r="A3" s="793"/>
      <c r="B3" s="848"/>
      <c r="C3" s="843" t="s">
        <v>256</v>
      </c>
      <c r="D3" s="845" t="s">
        <v>190</v>
      </c>
      <c r="E3" s="838" t="s">
        <v>191</v>
      </c>
      <c r="F3" s="838" t="s">
        <v>192</v>
      </c>
      <c r="G3" s="850"/>
    </row>
    <row r="4" spans="1:7" s="169" customFormat="1" ht="42" customHeight="1" x14ac:dyDescent="0.3">
      <c r="A4" s="793" t="s">
        <v>189</v>
      </c>
      <c r="B4" s="848"/>
      <c r="C4" s="844" t="s">
        <v>193</v>
      </c>
      <c r="D4" s="846"/>
      <c r="E4" s="839"/>
      <c r="F4" s="839"/>
      <c r="G4" s="850"/>
    </row>
    <row r="5" spans="1:7" s="169" customFormat="1" ht="23.25" customHeight="1" thickBot="1" x14ac:dyDescent="0.35">
      <c r="A5" s="794"/>
      <c r="B5" s="796"/>
      <c r="C5" s="795"/>
      <c r="D5" s="790"/>
      <c r="E5" s="790"/>
      <c r="F5" s="790"/>
      <c r="G5" s="791"/>
    </row>
    <row r="6" spans="1:7" x14ac:dyDescent="0.5">
      <c r="A6" s="244"/>
      <c r="B6" s="789" t="s">
        <v>2</v>
      </c>
      <c r="C6" s="149"/>
      <c r="D6" s="148"/>
      <c r="E6" s="149"/>
      <c r="F6" s="148"/>
      <c r="G6" s="242">
        <f>G8+G15+G17+G46</f>
        <v>8500000</v>
      </c>
    </row>
    <row r="7" spans="1:7" x14ac:dyDescent="0.5">
      <c r="A7" s="247">
        <v>1</v>
      </c>
      <c r="B7" s="243" t="s">
        <v>20</v>
      </c>
      <c r="C7" s="178"/>
      <c r="D7" s="179"/>
      <c r="E7" s="178"/>
      <c r="F7" s="179"/>
      <c r="G7" s="180">
        <f>G8+G15</f>
        <v>5120000</v>
      </c>
    </row>
    <row r="8" spans="1:7" x14ac:dyDescent="0.5">
      <c r="A8" s="244"/>
      <c r="B8" s="217" t="s">
        <v>195</v>
      </c>
      <c r="C8" s="186"/>
      <c r="D8" s="185"/>
      <c r="E8" s="186"/>
      <c r="F8" s="185"/>
      <c r="G8" s="216">
        <f>SUM(G9:G14)</f>
        <v>4850000</v>
      </c>
    </row>
    <row r="9" spans="1:7" x14ac:dyDescent="0.5">
      <c r="A9" s="244"/>
      <c r="B9" s="218" t="s">
        <v>1369</v>
      </c>
      <c r="C9" s="219">
        <v>1</v>
      </c>
      <c r="D9" s="219" t="s">
        <v>196</v>
      </c>
      <c r="E9" s="220">
        <v>5</v>
      </c>
      <c r="F9" s="221">
        <v>70000</v>
      </c>
      <c r="G9" s="222">
        <f t="shared" ref="G9:G14" si="0">F9*E9*C9</f>
        <v>350000</v>
      </c>
    </row>
    <row r="10" spans="1:7" ht="22.5" customHeight="1" x14ac:dyDescent="0.5">
      <c r="A10" s="244"/>
      <c r="B10" s="218" t="s">
        <v>1370</v>
      </c>
      <c r="C10" s="42">
        <v>2</v>
      </c>
      <c r="D10" s="42" t="s">
        <v>262</v>
      </c>
      <c r="E10" s="195">
        <v>5</v>
      </c>
      <c r="F10" s="223">
        <v>60000</v>
      </c>
      <c r="G10" s="224">
        <f t="shared" si="0"/>
        <v>600000</v>
      </c>
    </row>
    <row r="11" spans="1:7" x14ac:dyDescent="0.5">
      <c r="A11" s="244"/>
      <c r="B11" s="218" t="s">
        <v>1371</v>
      </c>
      <c r="C11" s="42">
        <v>2</v>
      </c>
      <c r="D11" s="42" t="s">
        <v>262</v>
      </c>
      <c r="E11" s="195">
        <v>5</v>
      </c>
      <c r="F11" s="223">
        <v>60000</v>
      </c>
      <c r="G11" s="224">
        <f t="shared" si="0"/>
        <v>600000</v>
      </c>
    </row>
    <row r="12" spans="1:7" ht="22.5" customHeight="1" x14ac:dyDescent="0.5">
      <c r="A12" s="244"/>
      <c r="B12" s="218" t="s">
        <v>1372</v>
      </c>
      <c r="C12" s="42">
        <v>2</v>
      </c>
      <c r="D12" s="42" t="s">
        <v>262</v>
      </c>
      <c r="E12" s="195">
        <v>5</v>
      </c>
      <c r="F12" s="223">
        <v>60000</v>
      </c>
      <c r="G12" s="224">
        <f t="shared" si="0"/>
        <v>600000</v>
      </c>
    </row>
    <row r="13" spans="1:7" x14ac:dyDescent="0.5">
      <c r="A13" s="244"/>
      <c r="B13" s="218" t="s">
        <v>1373</v>
      </c>
      <c r="C13" s="42">
        <v>2</v>
      </c>
      <c r="D13" s="42" t="s">
        <v>262</v>
      </c>
      <c r="E13" s="195">
        <v>5</v>
      </c>
      <c r="F13" s="223">
        <v>60000</v>
      </c>
      <c r="G13" s="224">
        <f t="shared" si="0"/>
        <v>600000</v>
      </c>
    </row>
    <row r="14" spans="1:7" x14ac:dyDescent="0.5">
      <c r="A14" s="244"/>
      <c r="B14" s="218" t="s">
        <v>1374</v>
      </c>
      <c r="C14" s="42">
        <v>12</v>
      </c>
      <c r="D14" s="42" t="s">
        <v>198</v>
      </c>
      <c r="E14" s="195">
        <v>7</v>
      </c>
      <c r="F14" s="223">
        <v>25000</v>
      </c>
      <c r="G14" s="224">
        <f t="shared" si="0"/>
        <v>2100000</v>
      </c>
    </row>
    <row r="15" spans="1:7" x14ac:dyDescent="0.5">
      <c r="A15" s="244"/>
      <c r="B15" s="217" t="s">
        <v>200</v>
      </c>
      <c r="C15" s="186"/>
      <c r="D15" s="185"/>
      <c r="E15" s="186"/>
      <c r="F15" s="185"/>
      <c r="G15" s="216">
        <f>SUM(G16)</f>
        <v>270000</v>
      </c>
    </row>
    <row r="16" spans="1:7" x14ac:dyDescent="0.5">
      <c r="A16" s="244"/>
      <c r="B16" s="218" t="s">
        <v>1375</v>
      </c>
      <c r="C16" s="219">
        <v>2</v>
      </c>
      <c r="D16" s="219" t="s">
        <v>264</v>
      </c>
      <c r="E16" s="219">
        <v>9</v>
      </c>
      <c r="F16" s="221">
        <v>15000</v>
      </c>
      <c r="G16" s="222">
        <f>F16*E16*C16</f>
        <v>270000</v>
      </c>
    </row>
    <row r="17" spans="1:7" x14ac:dyDescent="0.5">
      <c r="A17" s="247">
        <v>2</v>
      </c>
      <c r="B17" s="217" t="s">
        <v>265</v>
      </c>
      <c r="C17" s="219"/>
      <c r="D17" s="225"/>
      <c r="E17" s="219"/>
      <c r="F17" s="225"/>
      <c r="G17" s="216">
        <f>G18+G22+G23+G27+G31+G38+G44+G45</f>
        <v>3018100</v>
      </c>
    </row>
    <row r="18" spans="1:7" x14ac:dyDescent="0.5">
      <c r="A18" s="244"/>
      <c r="B18" s="217" t="s">
        <v>266</v>
      </c>
      <c r="C18" s="186"/>
      <c r="D18" s="185"/>
      <c r="E18" s="186"/>
      <c r="F18" s="185"/>
      <c r="G18" s="216">
        <f>SUM(G19:G21)</f>
        <v>105000</v>
      </c>
    </row>
    <row r="19" spans="1:7" x14ac:dyDescent="0.5">
      <c r="A19" s="244"/>
      <c r="B19" s="218" t="s">
        <v>267</v>
      </c>
      <c r="C19" s="42">
        <v>150</v>
      </c>
      <c r="D19" s="41"/>
      <c r="E19" s="42">
        <v>1</v>
      </c>
      <c r="F19" s="41">
        <v>500</v>
      </c>
      <c r="G19" s="224">
        <f>C19*E19*F19</f>
        <v>75000</v>
      </c>
    </row>
    <row r="20" spans="1:7" x14ac:dyDescent="0.5">
      <c r="A20" s="244"/>
      <c r="B20" s="218" t="s">
        <v>268</v>
      </c>
      <c r="C20" s="42">
        <v>150</v>
      </c>
      <c r="D20" s="41"/>
      <c r="E20" s="42">
        <v>2</v>
      </c>
      <c r="F20" s="41">
        <v>50</v>
      </c>
      <c r="G20" s="224">
        <f>C20*E20*F20</f>
        <v>15000</v>
      </c>
    </row>
    <row r="21" spans="1:7" s="228" customFormat="1" x14ac:dyDescent="0.5">
      <c r="A21" s="245"/>
      <c r="B21" s="227" t="s">
        <v>269</v>
      </c>
      <c r="C21" s="219">
        <v>150</v>
      </c>
      <c r="D21" s="225"/>
      <c r="E21" s="219">
        <v>1</v>
      </c>
      <c r="F21" s="225">
        <v>100</v>
      </c>
      <c r="G21" s="222">
        <f>C21*E21*F21</f>
        <v>15000</v>
      </c>
    </row>
    <row r="22" spans="1:7" s="228" customFormat="1" x14ac:dyDescent="0.5">
      <c r="A22" s="245"/>
      <c r="B22" s="217" t="s">
        <v>270</v>
      </c>
      <c r="C22" s="219">
        <v>10</v>
      </c>
      <c r="D22" s="225"/>
      <c r="E22" s="219">
        <v>1</v>
      </c>
      <c r="F22" s="225">
        <v>30000</v>
      </c>
      <c r="G22" s="216">
        <f>C22*E22*F22</f>
        <v>300000</v>
      </c>
    </row>
    <row r="23" spans="1:7" ht="21.75" customHeight="1" x14ac:dyDescent="0.5">
      <c r="A23" s="244"/>
      <c r="B23" s="217" t="s">
        <v>271</v>
      </c>
      <c r="C23" s="186"/>
      <c r="D23" s="185"/>
      <c r="E23" s="186"/>
      <c r="F23" s="185"/>
      <c r="G23" s="216">
        <f>SUM(G24:G26)</f>
        <v>1790400</v>
      </c>
    </row>
    <row r="24" spans="1:7" x14ac:dyDescent="0.5">
      <c r="A24" s="244"/>
      <c r="B24" s="218" t="s">
        <v>272</v>
      </c>
      <c r="C24" s="42">
        <v>4</v>
      </c>
      <c r="D24" s="41"/>
      <c r="E24" s="42">
        <v>240</v>
      </c>
      <c r="F24" s="41">
        <v>1000</v>
      </c>
      <c r="G24" s="224">
        <f>C24*E24*F24</f>
        <v>960000</v>
      </c>
    </row>
    <row r="25" spans="1:7" ht="19.5" customHeight="1" x14ac:dyDescent="0.5">
      <c r="A25" s="244"/>
      <c r="B25" s="229" t="s">
        <v>273</v>
      </c>
      <c r="C25" s="42">
        <v>4</v>
      </c>
      <c r="D25" s="41"/>
      <c r="E25" s="42">
        <v>240</v>
      </c>
      <c r="F25" s="41">
        <v>240</v>
      </c>
      <c r="G25" s="224">
        <f>C25*E25*F25</f>
        <v>230400</v>
      </c>
    </row>
    <row r="26" spans="1:7" ht="21" customHeight="1" x14ac:dyDescent="0.5">
      <c r="A26" s="244"/>
      <c r="B26" s="227" t="s">
        <v>274</v>
      </c>
      <c r="C26" s="219"/>
      <c r="D26" s="225"/>
      <c r="E26" s="219">
        <v>240</v>
      </c>
      <c r="F26" s="225">
        <v>2500</v>
      </c>
      <c r="G26" s="224">
        <f>E26*F26</f>
        <v>600000</v>
      </c>
    </row>
    <row r="27" spans="1:7" x14ac:dyDescent="0.5">
      <c r="A27" s="244"/>
      <c r="B27" s="217" t="s">
        <v>275</v>
      </c>
      <c r="C27" s="186"/>
      <c r="D27" s="185"/>
      <c r="E27" s="186"/>
      <c r="F27" s="185"/>
      <c r="G27" s="216">
        <f>SUM(G28:G30)</f>
        <v>109200</v>
      </c>
    </row>
    <row r="28" spans="1:7" x14ac:dyDescent="0.5">
      <c r="A28" s="244"/>
      <c r="B28" s="218" t="s">
        <v>276</v>
      </c>
      <c r="C28" s="42">
        <v>4</v>
      </c>
      <c r="D28" s="41"/>
      <c r="E28" s="42">
        <v>10</v>
      </c>
      <c r="F28" s="41">
        <v>1000</v>
      </c>
      <c r="G28" s="224">
        <f>C28*E28*F28</f>
        <v>40000</v>
      </c>
    </row>
    <row r="29" spans="1:7" x14ac:dyDescent="0.5">
      <c r="A29" s="244"/>
      <c r="B29" s="229" t="s">
        <v>277</v>
      </c>
      <c r="C29" s="42">
        <v>4</v>
      </c>
      <c r="D29" s="41"/>
      <c r="E29" s="42">
        <v>20</v>
      </c>
      <c r="F29" s="41">
        <v>240</v>
      </c>
      <c r="G29" s="224">
        <f>C29*E29*F29</f>
        <v>19200</v>
      </c>
    </row>
    <row r="30" spans="1:7" ht="15.75" customHeight="1" x14ac:dyDescent="0.5">
      <c r="A30" s="244"/>
      <c r="B30" s="227" t="s">
        <v>278</v>
      </c>
      <c r="C30" s="219"/>
      <c r="D30" s="225"/>
      <c r="E30" s="219">
        <v>20</v>
      </c>
      <c r="F30" s="225">
        <v>2500</v>
      </c>
      <c r="G30" s="224">
        <f>E30*F30</f>
        <v>50000</v>
      </c>
    </row>
    <row r="31" spans="1:7" x14ac:dyDescent="0.5">
      <c r="A31" s="244"/>
      <c r="B31" s="217" t="s">
        <v>279</v>
      </c>
      <c r="C31" s="186"/>
      <c r="D31" s="185"/>
      <c r="E31" s="186"/>
      <c r="F31" s="185"/>
      <c r="G31" s="216">
        <f>SUM(G32:G37)</f>
        <v>605000</v>
      </c>
    </row>
    <row r="32" spans="1:7" x14ac:dyDescent="0.5">
      <c r="A32" s="244"/>
      <c r="B32" s="230" t="s">
        <v>280</v>
      </c>
      <c r="C32" s="42">
        <v>150</v>
      </c>
      <c r="D32" s="41"/>
      <c r="E32" s="42">
        <v>1</v>
      </c>
      <c r="F32" s="41">
        <v>500</v>
      </c>
      <c r="G32" s="224">
        <f t="shared" ref="G32:G37" si="1">C32*E32*F32</f>
        <v>75000</v>
      </c>
    </row>
    <row r="33" spans="1:7" x14ac:dyDescent="0.5">
      <c r="A33" s="244"/>
      <c r="B33" s="218" t="s">
        <v>281</v>
      </c>
      <c r="C33" s="42">
        <v>150</v>
      </c>
      <c r="D33" s="41"/>
      <c r="E33" s="42">
        <v>2</v>
      </c>
      <c r="F33" s="41">
        <v>50</v>
      </c>
      <c r="G33" s="224">
        <f t="shared" si="1"/>
        <v>15000</v>
      </c>
    </row>
    <row r="34" spans="1:7" s="228" customFormat="1" x14ac:dyDescent="0.5">
      <c r="A34" s="245"/>
      <c r="B34" s="231" t="s">
        <v>282</v>
      </c>
      <c r="C34" s="219">
        <v>150</v>
      </c>
      <c r="D34" s="225"/>
      <c r="E34" s="219">
        <v>1</v>
      </c>
      <c r="F34" s="225">
        <v>100</v>
      </c>
      <c r="G34" s="224">
        <f t="shared" si="1"/>
        <v>15000</v>
      </c>
    </row>
    <row r="35" spans="1:7" x14ac:dyDescent="0.5">
      <c r="A35" s="244"/>
      <c r="B35" s="218" t="s">
        <v>283</v>
      </c>
      <c r="C35" s="42">
        <v>85</v>
      </c>
      <c r="D35" s="41"/>
      <c r="E35" s="42">
        <v>1</v>
      </c>
      <c r="F35" s="41">
        <v>2000</v>
      </c>
      <c r="G35" s="224">
        <f t="shared" si="1"/>
        <v>170000</v>
      </c>
    </row>
    <row r="36" spans="1:7" x14ac:dyDescent="0.5">
      <c r="A36" s="244"/>
      <c r="B36" s="218" t="s">
        <v>284</v>
      </c>
      <c r="C36" s="42">
        <v>150</v>
      </c>
      <c r="D36" s="41"/>
      <c r="E36" s="42">
        <v>1</v>
      </c>
      <c r="F36" s="41">
        <v>1000</v>
      </c>
      <c r="G36" s="224">
        <f t="shared" si="1"/>
        <v>150000</v>
      </c>
    </row>
    <row r="37" spans="1:7" x14ac:dyDescent="0.5">
      <c r="A37" s="244"/>
      <c r="B37" s="218" t="s">
        <v>285</v>
      </c>
      <c r="C37" s="42">
        <v>150</v>
      </c>
      <c r="D37" s="41"/>
      <c r="E37" s="42">
        <v>1</v>
      </c>
      <c r="F37" s="41">
        <v>1200</v>
      </c>
      <c r="G37" s="224">
        <f t="shared" si="1"/>
        <v>180000</v>
      </c>
    </row>
    <row r="38" spans="1:7" x14ac:dyDescent="0.5">
      <c r="A38" s="244"/>
      <c r="B38" s="217" t="s">
        <v>286</v>
      </c>
      <c r="C38" s="186"/>
      <c r="D38" s="185"/>
      <c r="E38" s="186"/>
      <c r="F38" s="185"/>
      <c r="G38" s="216">
        <f>SUM(G39:G43)</f>
        <v>43800</v>
      </c>
    </row>
    <row r="39" spans="1:7" x14ac:dyDescent="0.5">
      <c r="A39" s="244"/>
      <c r="B39" s="218" t="s">
        <v>287</v>
      </c>
      <c r="C39" s="42">
        <v>9</v>
      </c>
      <c r="D39" s="41"/>
      <c r="E39" s="42">
        <v>1</v>
      </c>
      <c r="F39" s="183">
        <v>600</v>
      </c>
      <c r="G39" s="224">
        <f>C39*E39*F39</f>
        <v>5400</v>
      </c>
    </row>
    <row r="40" spans="1:7" x14ac:dyDescent="0.5">
      <c r="A40" s="244"/>
      <c r="B40" s="230" t="s">
        <v>288</v>
      </c>
      <c r="C40" s="42">
        <v>9</v>
      </c>
      <c r="D40" s="41"/>
      <c r="E40" s="42">
        <v>1</v>
      </c>
      <c r="F40" s="183">
        <v>800</v>
      </c>
      <c r="G40" s="224">
        <f>C40*E40*F40</f>
        <v>7200</v>
      </c>
    </row>
    <row r="41" spans="1:7" x14ac:dyDescent="0.5">
      <c r="A41" s="244"/>
      <c r="B41" s="230" t="s">
        <v>289</v>
      </c>
      <c r="C41" s="42">
        <v>9</v>
      </c>
      <c r="D41" s="41"/>
      <c r="E41" s="42">
        <v>1</v>
      </c>
      <c r="F41" s="183">
        <v>800</v>
      </c>
      <c r="G41" s="224">
        <f>C41*E41*F41</f>
        <v>7200</v>
      </c>
    </row>
    <row r="42" spans="1:7" x14ac:dyDescent="0.5">
      <c r="A42" s="244"/>
      <c r="B42" s="230" t="s">
        <v>290</v>
      </c>
      <c r="C42" s="42">
        <v>9</v>
      </c>
      <c r="D42" s="41"/>
      <c r="E42" s="42">
        <v>1</v>
      </c>
      <c r="F42" s="183">
        <v>800</v>
      </c>
      <c r="G42" s="224">
        <f>C42*E42*F42</f>
        <v>7200</v>
      </c>
    </row>
    <row r="43" spans="1:7" x14ac:dyDescent="0.5">
      <c r="A43" s="244"/>
      <c r="B43" s="218" t="s">
        <v>291</v>
      </c>
      <c r="C43" s="42">
        <v>14</v>
      </c>
      <c r="D43" s="41"/>
      <c r="E43" s="42">
        <v>1</v>
      </c>
      <c r="F43" s="232">
        <v>1200</v>
      </c>
      <c r="G43" s="224">
        <f>C43*E43*F43</f>
        <v>16800</v>
      </c>
    </row>
    <row r="44" spans="1:7" x14ac:dyDescent="0.5">
      <c r="A44" s="244"/>
      <c r="B44" s="217" t="s">
        <v>292</v>
      </c>
      <c r="C44" s="219" t="s">
        <v>242</v>
      </c>
      <c r="D44" s="225"/>
      <c r="E44" s="219"/>
      <c r="F44" s="233"/>
      <c r="G44" s="216">
        <v>60000</v>
      </c>
    </row>
    <row r="45" spans="1:7" x14ac:dyDescent="0.5">
      <c r="A45" s="244"/>
      <c r="B45" s="217" t="s">
        <v>293</v>
      </c>
      <c r="C45" s="186" t="s">
        <v>242</v>
      </c>
      <c r="D45" s="185"/>
      <c r="E45" s="186"/>
      <c r="F45" s="185"/>
      <c r="G45" s="216">
        <v>4700</v>
      </c>
    </row>
    <row r="46" spans="1:7" x14ac:dyDescent="0.5">
      <c r="A46" s="244"/>
      <c r="B46" s="217" t="s">
        <v>294</v>
      </c>
      <c r="C46" s="186"/>
      <c r="D46" s="185"/>
      <c r="E46" s="186"/>
      <c r="F46" s="185"/>
      <c r="G46" s="216">
        <f>SUM(G48:G51)</f>
        <v>361900</v>
      </c>
    </row>
    <row r="47" spans="1:7" x14ac:dyDescent="0.5">
      <c r="A47" s="244"/>
      <c r="B47" s="218" t="s">
        <v>295</v>
      </c>
      <c r="C47" s="186"/>
      <c r="D47" s="185"/>
      <c r="E47" s="186"/>
      <c r="F47" s="185"/>
      <c r="G47" s="216"/>
    </row>
    <row r="48" spans="1:7" x14ac:dyDescent="0.5">
      <c r="A48" s="244"/>
      <c r="B48" s="218" t="s">
        <v>296</v>
      </c>
      <c r="C48" s="42">
        <v>3</v>
      </c>
      <c r="D48" s="41"/>
      <c r="E48" s="42">
        <v>35</v>
      </c>
      <c r="F48" s="41">
        <v>800</v>
      </c>
      <c r="G48" s="224">
        <f>C48*E48*F48</f>
        <v>84000</v>
      </c>
    </row>
    <row r="49" spans="1:7" x14ac:dyDescent="0.5">
      <c r="A49" s="244"/>
      <c r="B49" s="229" t="s">
        <v>297</v>
      </c>
      <c r="C49" s="42">
        <v>3</v>
      </c>
      <c r="D49" s="41"/>
      <c r="E49" s="42">
        <v>70</v>
      </c>
      <c r="F49" s="41">
        <v>240</v>
      </c>
      <c r="G49" s="224">
        <f>C49*E49*F49</f>
        <v>50400</v>
      </c>
    </row>
    <row r="50" spans="1:7" x14ac:dyDescent="0.5">
      <c r="A50" s="244"/>
      <c r="B50" s="227" t="s">
        <v>298</v>
      </c>
      <c r="C50" s="42"/>
      <c r="D50" s="41"/>
      <c r="E50" s="42">
        <v>70</v>
      </c>
      <c r="F50" s="41">
        <v>2500</v>
      </c>
      <c r="G50" s="224">
        <f>E50*F50</f>
        <v>175000</v>
      </c>
    </row>
    <row r="51" spans="1:7" ht="15.75" customHeight="1" x14ac:dyDescent="0.5">
      <c r="A51" s="246"/>
      <c r="B51" s="227" t="s">
        <v>299</v>
      </c>
      <c r="C51" s="219">
        <v>3</v>
      </c>
      <c r="D51" s="225"/>
      <c r="E51" s="219">
        <v>35</v>
      </c>
      <c r="F51" s="225">
        <v>500</v>
      </c>
      <c r="G51" s="224">
        <f>E51*F51*C51</f>
        <v>52500</v>
      </c>
    </row>
    <row r="52" spans="1:7" ht="15.75" customHeight="1" x14ac:dyDescent="0.5">
      <c r="B52" s="234"/>
      <c r="C52" s="236"/>
      <c r="D52" s="235"/>
      <c r="E52" s="236"/>
      <c r="F52" s="235"/>
      <c r="G52" s="237"/>
    </row>
    <row r="53" spans="1:7" s="238" customFormat="1" ht="24.75" customHeight="1" x14ac:dyDescent="0.2">
      <c r="G53" s="241"/>
    </row>
  </sheetData>
  <mergeCells count="7">
    <mergeCell ref="A1:G1"/>
    <mergeCell ref="C3:C4"/>
    <mergeCell ref="D3:D4"/>
    <mergeCell ref="E3:E4"/>
    <mergeCell ref="F3:F4"/>
    <mergeCell ref="B2:B4"/>
    <mergeCell ref="G2:G4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view="pageBreakPreview" zoomScale="120" zoomScaleNormal="100" zoomScaleSheetLayoutView="120" workbookViewId="0">
      <selection activeCell="B20" sqref="B20"/>
    </sheetView>
  </sheetViews>
  <sheetFormatPr defaultColWidth="8.375" defaultRowHeight="21.75" x14ac:dyDescent="0.5"/>
  <cols>
    <col min="1" max="1" width="4.875" style="23" customWidth="1"/>
    <col min="2" max="2" width="71.625" style="289" customWidth="1"/>
    <col min="3" max="3" width="0.125" style="166" hidden="1" customWidth="1"/>
    <col min="4" max="4" width="6.25" style="23" hidden="1" customWidth="1"/>
    <col min="5" max="5" width="4.5" style="166" hidden="1" customWidth="1"/>
    <col min="6" max="6" width="0.25" style="23" hidden="1" customWidth="1"/>
    <col min="7" max="7" width="13" style="167" customWidth="1"/>
    <col min="8" max="8" width="12.125" style="23" bestFit="1" customWidth="1"/>
    <col min="9" max="16384" width="8.375" style="23"/>
  </cols>
  <sheetData>
    <row r="1" spans="1:8" s="43" customFormat="1" ht="23.25" x14ac:dyDescent="0.5">
      <c r="A1" s="823" t="s">
        <v>16</v>
      </c>
      <c r="B1" s="823"/>
      <c r="C1" s="823"/>
      <c r="D1" s="823"/>
      <c r="E1" s="823"/>
      <c r="F1" s="823"/>
      <c r="G1" s="823"/>
    </row>
    <row r="2" spans="1:8" s="248" customFormat="1" ht="18.75" customHeight="1" x14ac:dyDescent="0.3">
      <c r="A2" s="853" t="s">
        <v>189</v>
      </c>
      <c r="B2" s="855" t="s">
        <v>1363</v>
      </c>
      <c r="C2" s="812" t="s">
        <v>56</v>
      </c>
      <c r="D2" s="813"/>
      <c r="E2" s="813"/>
      <c r="F2" s="813"/>
      <c r="G2" s="851" t="s">
        <v>1</v>
      </c>
    </row>
    <row r="3" spans="1:8" s="248" customFormat="1" ht="18.75" customHeight="1" x14ac:dyDescent="0.3">
      <c r="A3" s="854"/>
      <c r="B3" s="856"/>
      <c r="C3" s="784"/>
      <c r="D3" s="784"/>
      <c r="E3" s="784"/>
      <c r="F3" s="784"/>
      <c r="G3" s="852"/>
    </row>
    <row r="4" spans="1:8" s="248" customFormat="1" ht="19.5" thickBot="1" x14ac:dyDescent="0.35">
      <c r="A4" s="287"/>
      <c r="B4" s="249" t="s">
        <v>2</v>
      </c>
      <c r="C4" s="250"/>
      <c r="D4" s="250"/>
      <c r="E4" s="250"/>
      <c r="F4" s="250"/>
      <c r="G4" s="251">
        <f>G5+G13</f>
        <v>3000000</v>
      </c>
    </row>
    <row r="5" spans="1:8" s="258" customFormat="1" ht="22.5" thickTop="1" x14ac:dyDescent="0.5">
      <c r="A5" s="247">
        <v>1</v>
      </c>
      <c r="B5" s="290" t="s">
        <v>338</v>
      </c>
      <c r="C5" s="254"/>
      <c r="D5" s="255"/>
      <c r="E5" s="254"/>
      <c r="F5" s="255"/>
      <c r="G5" s="308">
        <f>G6+G11</f>
        <v>1775000</v>
      </c>
    </row>
    <row r="6" spans="1:8" s="258" customFormat="1" ht="21.75" customHeight="1" x14ac:dyDescent="0.5">
      <c r="A6" s="252"/>
      <c r="B6" s="291" t="s">
        <v>195</v>
      </c>
      <c r="C6" s="262"/>
      <c r="D6" s="261"/>
      <c r="E6" s="262"/>
      <c r="F6" s="261"/>
      <c r="G6" s="263">
        <f>SUM(G7:G10)</f>
        <v>1640000</v>
      </c>
      <c r="H6" s="264"/>
    </row>
    <row r="7" spans="1:8" s="258" customFormat="1" ht="21.75" customHeight="1" x14ac:dyDescent="0.5">
      <c r="A7" s="252"/>
      <c r="B7" s="292" t="s">
        <v>1364</v>
      </c>
      <c r="C7" s="265">
        <v>1</v>
      </c>
      <c r="D7" s="265" t="s">
        <v>196</v>
      </c>
      <c r="E7" s="265">
        <v>5</v>
      </c>
      <c r="F7" s="266">
        <v>70000</v>
      </c>
      <c r="G7" s="257">
        <f>F7*E7*C7</f>
        <v>350000</v>
      </c>
      <c r="H7" s="264"/>
    </row>
    <row r="8" spans="1:8" s="258" customFormat="1" x14ac:dyDescent="0.5">
      <c r="A8" s="252"/>
      <c r="B8" s="292" t="s">
        <v>1368</v>
      </c>
      <c r="C8" s="265">
        <v>1</v>
      </c>
      <c r="D8" s="265" t="s">
        <v>301</v>
      </c>
      <c r="E8" s="265">
        <v>6</v>
      </c>
      <c r="F8" s="266">
        <v>60000</v>
      </c>
      <c r="G8" s="257">
        <f>F8*E8*C8</f>
        <v>360000</v>
      </c>
    </row>
    <row r="9" spans="1:8" s="258" customFormat="1" x14ac:dyDescent="0.5">
      <c r="A9" s="252"/>
      <c r="B9" s="292" t="s">
        <v>1365</v>
      </c>
      <c r="C9" s="265">
        <v>2</v>
      </c>
      <c r="D9" s="265" t="s">
        <v>302</v>
      </c>
      <c r="E9" s="265">
        <v>7</v>
      </c>
      <c r="F9" s="266">
        <v>45000</v>
      </c>
      <c r="G9" s="257">
        <f>F9*E9*C9</f>
        <v>630000</v>
      </c>
    </row>
    <row r="10" spans="1:8" s="258" customFormat="1" ht="21.75" customHeight="1" x14ac:dyDescent="0.5">
      <c r="A10" s="252"/>
      <c r="B10" s="292" t="s">
        <v>1366</v>
      </c>
      <c r="C10" s="265">
        <v>1</v>
      </c>
      <c r="D10" s="265" t="s">
        <v>303</v>
      </c>
      <c r="E10" s="265">
        <v>5</v>
      </c>
      <c r="F10" s="266">
        <v>60000</v>
      </c>
      <c r="G10" s="257">
        <f>F10*E10*C10</f>
        <v>300000</v>
      </c>
    </row>
    <row r="11" spans="1:8" s="258" customFormat="1" x14ac:dyDescent="0.5">
      <c r="A11" s="252"/>
      <c r="B11" s="291" t="s">
        <v>200</v>
      </c>
      <c r="C11" s="262"/>
      <c r="D11" s="261"/>
      <c r="E11" s="267"/>
      <c r="F11" s="261"/>
      <c r="G11" s="263">
        <f>SUM(G12:G12)</f>
        <v>135000</v>
      </c>
    </row>
    <row r="12" spans="1:8" s="258" customFormat="1" x14ac:dyDescent="0.5">
      <c r="A12" s="252"/>
      <c r="B12" s="288" t="s">
        <v>1367</v>
      </c>
      <c r="C12" s="265">
        <v>1</v>
      </c>
      <c r="D12" s="265"/>
      <c r="E12" s="265">
        <v>9</v>
      </c>
      <c r="F12" s="266">
        <v>15000</v>
      </c>
      <c r="G12" s="257">
        <f>F12*E12*C12</f>
        <v>135000</v>
      </c>
    </row>
    <row r="13" spans="1:8" s="258" customFormat="1" x14ac:dyDescent="0.5">
      <c r="A13" s="247">
        <v>2</v>
      </c>
      <c r="B13" s="293" t="s">
        <v>201</v>
      </c>
      <c r="C13" s="262"/>
      <c r="D13" s="261"/>
      <c r="E13" s="262"/>
      <c r="F13" s="261"/>
      <c r="G13" s="263">
        <f>G14+G19+G31+G25+E15+G37+G38+G39+G40+G41</f>
        <v>1225000</v>
      </c>
    </row>
    <row r="14" spans="1:8" s="258" customFormat="1" ht="21.75" customHeight="1" x14ac:dyDescent="0.5">
      <c r="A14" s="252"/>
      <c r="B14" s="294" t="s">
        <v>304</v>
      </c>
      <c r="C14" s="262"/>
      <c r="D14" s="261"/>
      <c r="E14" s="262"/>
      <c r="F14" s="261"/>
      <c r="G14" s="256">
        <f>SUM(G15:G18)</f>
        <v>40000</v>
      </c>
    </row>
    <row r="15" spans="1:8" s="258" customFormat="1" ht="21.75" customHeight="1" x14ac:dyDescent="0.5">
      <c r="A15" s="252"/>
      <c r="B15" s="292" t="s">
        <v>305</v>
      </c>
      <c r="C15" s="265"/>
      <c r="D15" s="253"/>
      <c r="E15" s="265"/>
      <c r="F15" s="268" t="s">
        <v>306</v>
      </c>
      <c r="G15" s="257">
        <f>25000</f>
        <v>25000</v>
      </c>
    </row>
    <row r="16" spans="1:8" s="258" customFormat="1" x14ac:dyDescent="0.5">
      <c r="A16" s="252"/>
      <c r="B16" s="292" t="s">
        <v>307</v>
      </c>
      <c r="C16" s="265"/>
      <c r="D16" s="253"/>
      <c r="E16" s="265"/>
      <c r="F16" s="268" t="s">
        <v>308</v>
      </c>
      <c r="G16" s="257">
        <f>5000</f>
        <v>5000</v>
      </c>
    </row>
    <row r="17" spans="1:7" s="258" customFormat="1" ht="21.75" customHeight="1" x14ac:dyDescent="0.5">
      <c r="A17" s="252"/>
      <c r="B17" s="295" t="s">
        <v>309</v>
      </c>
      <c r="C17" s="270"/>
      <c r="D17" s="269"/>
      <c r="E17" s="270"/>
      <c r="F17" s="271" t="s">
        <v>310</v>
      </c>
      <c r="G17" s="272">
        <f>100*50</f>
        <v>5000</v>
      </c>
    </row>
    <row r="18" spans="1:7" s="258" customFormat="1" x14ac:dyDescent="0.5">
      <c r="A18" s="252"/>
      <c r="B18" s="296" t="s">
        <v>315</v>
      </c>
      <c r="C18" s="265"/>
      <c r="D18" s="253"/>
      <c r="E18" s="265"/>
      <c r="F18" s="268" t="s">
        <v>311</v>
      </c>
      <c r="G18" s="257">
        <f>5000</f>
        <v>5000</v>
      </c>
    </row>
    <row r="19" spans="1:7" s="258" customFormat="1" x14ac:dyDescent="0.5">
      <c r="A19" s="252"/>
      <c r="B19" s="291" t="s">
        <v>312</v>
      </c>
      <c r="C19" s="262"/>
      <c r="D19" s="261"/>
      <c r="E19" s="262"/>
      <c r="F19" s="273"/>
      <c r="G19" s="274">
        <f>SUM(G20:G24)</f>
        <v>47200</v>
      </c>
    </row>
    <row r="20" spans="1:7" s="258" customFormat="1" x14ac:dyDescent="0.5">
      <c r="A20" s="252"/>
      <c r="B20" s="297" t="s">
        <v>305</v>
      </c>
      <c r="C20" s="265"/>
      <c r="D20" s="253"/>
      <c r="E20" s="265"/>
      <c r="F20" s="268" t="s">
        <v>306</v>
      </c>
      <c r="G20" s="275">
        <f>25000</f>
        <v>25000</v>
      </c>
    </row>
    <row r="21" spans="1:7" s="258" customFormat="1" ht="21.75" customHeight="1" x14ac:dyDescent="0.5">
      <c r="A21" s="252"/>
      <c r="B21" s="298" t="s">
        <v>307</v>
      </c>
      <c r="C21" s="265"/>
      <c r="D21" s="253"/>
      <c r="E21" s="265"/>
      <c r="F21" s="268" t="s">
        <v>308</v>
      </c>
      <c r="G21" s="275">
        <f>5000</f>
        <v>5000</v>
      </c>
    </row>
    <row r="22" spans="1:7" s="258" customFormat="1" x14ac:dyDescent="0.5">
      <c r="A22" s="252"/>
      <c r="B22" s="299" t="s">
        <v>309</v>
      </c>
      <c r="C22" s="277"/>
      <c r="D22" s="276"/>
      <c r="E22" s="277"/>
      <c r="F22" s="278" t="s">
        <v>310</v>
      </c>
      <c r="G22" s="279">
        <f>100*50</f>
        <v>5000</v>
      </c>
    </row>
    <row r="23" spans="1:7" s="258" customFormat="1" x14ac:dyDescent="0.5">
      <c r="A23" s="252"/>
      <c r="B23" s="292" t="s">
        <v>313</v>
      </c>
      <c r="C23" s="265"/>
      <c r="D23" s="253"/>
      <c r="E23" s="265"/>
      <c r="F23" s="268" t="s">
        <v>314</v>
      </c>
      <c r="G23" s="275">
        <f>2*3*1200</f>
        <v>7200</v>
      </c>
    </row>
    <row r="24" spans="1:7" s="258" customFormat="1" x14ac:dyDescent="0.5">
      <c r="A24" s="252"/>
      <c r="B24" s="300" t="s">
        <v>315</v>
      </c>
      <c r="C24" s="259"/>
      <c r="D24" s="260"/>
      <c r="E24" s="259"/>
      <c r="F24" s="280" t="s">
        <v>311</v>
      </c>
      <c r="G24" s="281">
        <f>5000</f>
        <v>5000</v>
      </c>
    </row>
    <row r="25" spans="1:7" s="258" customFormat="1" x14ac:dyDescent="0.5">
      <c r="A25" s="252"/>
      <c r="B25" s="291" t="s">
        <v>316</v>
      </c>
      <c r="C25" s="262"/>
      <c r="D25" s="261"/>
      <c r="E25" s="262"/>
      <c r="F25" s="273"/>
      <c r="G25" s="274">
        <f>SUM(G26:G30)</f>
        <v>26200</v>
      </c>
    </row>
    <row r="26" spans="1:7" s="258" customFormat="1" x14ac:dyDescent="0.5">
      <c r="A26" s="252"/>
      <c r="B26" s="297" t="s">
        <v>317</v>
      </c>
      <c r="C26" s="265"/>
      <c r="D26" s="253"/>
      <c r="E26" s="265"/>
      <c r="F26" s="268" t="s">
        <v>318</v>
      </c>
      <c r="G26" s="275">
        <f>10000</f>
        <v>10000</v>
      </c>
    </row>
    <row r="27" spans="1:7" s="258" customFormat="1" ht="24.75" customHeight="1" x14ac:dyDescent="0.5">
      <c r="A27" s="252"/>
      <c r="B27" s="298" t="s">
        <v>319</v>
      </c>
      <c r="C27" s="265"/>
      <c r="D27" s="253"/>
      <c r="E27" s="265"/>
      <c r="F27" s="268" t="s">
        <v>320</v>
      </c>
      <c r="G27" s="275">
        <f>2000</f>
        <v>2000</v>
      </c>
    </row>
    <row r="28" spans="1:7" s="258" customFormat="1" x14ac:dyDescent="0.5">
      <c r="A28" s="252"/>
      <c r="B28" s="299" t="s">
        <v>321</v>
      </c>
      <c r="C28" s="277"/>
      <c r="D28" s="276"/>
      <c r="E28" s="277"/>
      <c r="F28" s="278" t="s">
        <v>322</v>
      </c>
      <c r="G28" s="279">
        <f>100*20</f>
        <v>2000</v>
      </c>
    </row>
    <row r="29" spans="1:7" s="258" customFormat="1" x14ac:dyDescent="0.5">
      <c r="A29" s="252"/>
      <c r="B29" s="292" t="s">
        <v>313</v>
      </c>
      <c r="C29" s="265"/>
      <c r="D29" s="253"/>
      <c r="E29" s="265"/>
      <c r="F29" s="268" t="s">
        <v>314</v>
      </c>
      <c r="G29" s="275">
        <f>2*3*1200</f>
        <v>7200</v>
      </c>
    </row>
    <row r="30" spans="1:7" s="258" customFormat="1" x14ac:dyDescent="0.5">
      <c r="A30" s="252"/>
      <c r="B30" s="298" t="s">
        <v>315</v>
      </c>
      <c r="C30" s="265"/>
      <c r="D30" s="253"/>
      <c r="E30" s="265"/>
      <c r="F30" s="268" t="s">
        <v>311</v>
      </c>
      <c r="G30" s="275">
        <f>5000</f>
        <v>5000</v>
      </c>
    </row>
    <row r="31" spans="1:7" s="258" customFormat="1" x14ac:dyDescent="0.5">
      <c r="A31" s="252"/>
      <c r="B31" s="291" t="s">
        <v>323</v>
      </c>
      <c r="C31" s="262"/>
      <c r="D31" s="261"/>
      <c r="E31" s="262"/>
      <c r="F31" s="273"/>
      <c r="G31" s="256">
        <f>SUM(G32:G36)</f>
        <v>42900</v>
      </c>
    </row>
    <row r="32" spans="1:7" s="258" customFormat="1" x14ac:dyDescent="0.5">
      <c r="A32" s="252"/>
      <c r="B32" s="298" t="s">
        <v>324</v>
      </c>
      <c r="C32" s="265"/>
      <c r="D32" s="253"/>
      <c r="E32" s="265"/>
      <c r="F32" s="266" t="s">
        <v>325</v>
      </c>
      <c r="G32" s="257">
        <v>4500</v>
      </c>
    </row>
    <row r="33" spans="1:7" s="258" customFormat="1" x14ac:dyDescent="0.5">
      <c r="A33" s="252"/>
      <c r="B33" s="298" t="s">
        <v>288</v>
      </c>
      <c r="C33" s="265"/>
      <c r="D33" s="253"/>
      <c r="E33" s="265"/>
      <c r="F33" s="266" t="s">
        <v>326</v>
      </c>
      <c r="G33" s="257">
        <v>7200</v>
      </c>
    </row>
    <row r="34" spans="1:7" s="258" customFormat="1" x14ac:dyDescent="0.5">
      <c r="A34" s="252"/>
      <c r="B34" s="298" t="s">
        <v>327</v>
      </c>
      <c r="C34" s="265"/>
      <c r="D34" s="253"/>
      <c r="E34" s="265"/>
      <c r="F34" s="266" t="s">
        <v>328</v>
      </c>
      <c r="G34" s="257">
        <v>7200</v>
      </c>
    </row>
    <row r="35" spans="1:7" s="258" customFormat="1" x14ac:dyDescent="0.5">
      <c r="A35" s="252"/>
      <c r="B35" s="298" t="s">
        <v>329</v>
      </c>
      <c r="C35" s="265"/>
      <c r="D35" s="253"/>
      <c r="E35" s="265"/>
      <c r="F35" s="266" t="s">
        <v>328</v>
      </c>
      <c r="G35" s="257">
        <v>7200</v>
      </c>
    </row>
    <row r="36" spans="1:7" s="258" customFormat="1" x14ac:dyDescent="0.5">
      <c r="A36" s="252"/>
      <c r="B36" s="292" t="s">
        <v>330</v>
      </c>
      <c r="C36" s="265"/>
      <c r="D36" s="253"/>
      <c r="E36" s="265"/>
      <c r="F36" s="266" t="s">
        <v>331</v>
      </c>
      <c r="G36" s="257">
        <f>16800</f>
        <v>16800</v>
      </c>
    </row>
    <row r="37" spans="1:7" s="258" customFormat="1" x14ac:dyDescent="0.5">
      <c r="A37" s="252"/>
      <c r="B37" s="301" t="s">
        <v>332</v>
      </c>
      <c r="C37" s="277"/>
      <c r="D37" s="276"/>
      <c r="E37" s="277"/>
      <c r="F37" s="282" t="s">
        <v>333</v>
      </c>
      <c r="G37" s="256">
        <f>110000</f>
        <v>110000</v>
      </c>
    </row>
    <row r="38" spans="1:7" s="258" customFormat="1" ht="41.25" customHeight="1" x14ac:dyDescent="0.5">
      <c r="A38" s="252"/>
      <c r="B38" s="306" t="s">
        <v>339</v>
      </c>
      <c r="C38" s="277"/>
      <c r="D38" s="276"/>
      <c r="E38" s="277"/>
      <c r="F38" s="276" t="s">
        <v>334</v>
      </c>
      <c r="G38" s="256">
        <f>45000</f>
        <v>45000</v>
      </c>
    </row>
    <row r="39" spans="1:7" s="258" customFormat="1" x14ac:dyDescent="0.5">
      <c r="A39" s="252"/>
      <c r="B39" s="302" t="s">
        <v>335</v>
      </c>
      <c r="C39" s="277"/>
      <c r="D39" s="276"/>
      <c r="E39" s="277"/>
      <c r="F39" s="276"/>
      <c r="G39" s="256">
        <f>200000</f>
        <v>200000</v>
      </c>
    </row>
    <row r="40" spans="1:7" s="258" customFormat="1" x14ac:dyDescent="0.5">
      <c r="A40" s="252"/>
      <c r="B40" s="302" t="s">
        <v>336</v>
      </c>
      <c r="C40" s="277"/>
      <c r="D40" s="276"/>
      <c r="E40" s="277"/>
      <c r="F40" s="276"/>
      <c r="G40" s="283">
        <v>710000</v>
      </c>
    </row>
    <row r="41" spans="1:7" s="258" customFormat="1" x14ac:dyDescent="0.5">
      <c r="A41" s="260"/>
      <c r="B41" s="303" t="s">
        <v>337</v>
      </c>
      <c r="C41" s="265"/>
      <c r="D41" s="253"/>
      <c r="E41" s="265"/>
      <c r="F41" s="266"/>
      <c r="G41" s="256">
        <v>3700</v>
      </c>
    </row>
    <row r="42" spans="1:7" s="258" customFormat="1" x14ac:dyDescent="0.5">
      <c r="B42" s="304"/>
      <c r="C42" s="284"/>
      <c r="E42" s="284"/>
      <c r="G42" s="285"/>
    </row>
    <row r="43" spans="1:7" s="238" customFormat="1" ht="24.75" customHeight="1" x14ac:dyDescent="0.2">
      <c r="G43" s="241"/>
    </row>
    <row r="44" spans="1:7" s="258" customFormat="1" x14ac:dyDescent="0.5">
      <c r="B44" s="305"/>
      <c r="C44" s="284"/>
      <c r="E44" s="284"/>
      <c r="G44" s="285"/>
    </row>
  </sheetData>
  <mergeCells count="4">
    <mergeCell ref="A1:G1"/>
    <mergeCell ref="G2:G3"/>
    <mergeCell ref="A2:A3"/>
    <mergeCell ref="B2:B3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66"/>
  <sheetViews>
    <sheetView view="pageBreakPreview" zoomScale="110" zoomScaleNormal="100" zoomScaleSheetLayoutView="110" workbookViewId="0">
      <selection activeCell="B20" sqref="B20"/>
    </sheetView>
  </sheetViews>
  <sheetFormatPr defaultColWidth="8.25" defaultRowHeight="21.75" x14ac:dyDescent="0.5"/>
  <cols>
    <col min="1" max="1" width="5.375" style="23" customWidth="1"/>
    <col min="2" max="2" width="89.25" style="168" customWidth="1"/>
    <col min="3" max="3" width="8" style="166" hidden="1" customWidth="1"/>
    <col min="4" max="4" width="10" style="23" hidden="1" customWidth="1"/>
    <col min="5" max="5" width="8.875" style="166" hidden="1" customWidth="1"/>
    <col min="6" max="6" width="11.875" style="307" hidden="1" customWidth="1"/>
    <col min="7" max="7" width="14.25" style="167" customWidth="1"/>
    <col min="8" max="16384" width="8.25" style="23"/>
  </cols>
  <sheetData>
    <row r="2" spans="1:7" s="169" customFormat="1" ht="18.75" customHeight="1" x14ac:dyDescent="0.3">
      <c r="A2" s="835" t="s">
        <v>189</v>
      </c>
      <c r="B2" s="862" t="s">
        <v>300</v>
      </c>
      <c r="C2" s="337"/>
      <c r="D2" s="337"/>
      <c r="E2" s="337"/>
      <c r="F2" s="337" t="s">
        <v>56</v>
      </c>
      <c r="G2" s="857" t="s">
        <v>18</v>
      </c>
    </row>
    <row r="3" spans="1:7" s="169" customFormat="1" ht="7.5" customHeight="1" x14ac:dyDescent="0.3">
      <c r="A3" s="836"/>
      <c r="B3" s="863"/>
      <c r="C3" s="866" t="s">
        <v>261</v>
      </c>
      <c r="D3" s="860" t="s">
        <v>190</v>
      </c>
      <c r="E3" s="860" t="s">
        <v>191</v>
      </c>
      <c r="F3" s="861" t="s">
        <v>192</v>
      </c>
      <c r="G3" s="858"/>
    </row>
    <row r="4" spans="1:7" s="169" customFormat="1" ht="18.75" x14ac:dyDescent="0.3">
      <c r="A4" s="836"/>
      <c r="B4" s="864" t="s">
        <v>341</v>
      </c>
      <c r="C4" s="866" t="s">
        <v>193</v>
      </c>
      <c r="D4" s="860"/>
      <c r="E4" s="860"/>
      <c r="F4" s="861"/>
      <c r="G4" s="858"/>
    </row>
    <row r="5" spans="1:7" s="169" customFormat="1" ht="9.75" customHeight="1" x14ac:dyDescent="0.3">
      <c r="A5" s="837"/>
      <c r="B5" s="865"/>
      <c r="C5" s="866" t="s">
        <v>340</v>
      </c>
      <c r="D5" s="860"/>
      <c r="E5" s="860"/>
      <c r="F5" s="861"/>
      <c r="G5" s="859"/>
    </row>
    <row r="6" spans="1:7" x14ac:dyDescent="0.5">
      <c r="A6" s="244"/>
      <c r="B6" s="811" t="s">
        <v>2</v>
      </c>
      <c r="C6" s="310"/>
      <c r="D6" s="226"/>
      <c r="E6" s="310"/>
      <c r="F6" s="311"/>
      <c r="G6" s="312">
        <f>G8+G15+G15+G18+G23+G27+G31+G37+G43+G46+G65</f>
        <v>8500000</v>
      </c>
    </row>
    <row r="7" spans="1:7" ht="21.75" customHeight="1" x14ac:dyDescent="0.5">
      <c r="A7" s="207">
        <v>1</v>
      </c>
      <c r="B7" s="354" t="s">
        <v>338</v>
      </c>
      <c r="C7" s="310"/>
      <c r="D7" s="226"/>
      <c r="E7" s="310"/>
      <c r="F7" s="311"/>
      <c r="G7" s="313"/>
    </row>
    <row r="8" spans="1:7" x14ac:dyDescent="0.5">
      <c r="A8" s="244"/>
      <c r="B8" s="336" t="s">
        <v>195</v>
      </c>
      <c r="C8" s="315"/>
      <c r="D8" s="314"/>
      <c r="E8" s="315"/>
      <c r="F8" s="316"/>
      <c r="G8" s="317">
        <f>G9+G10+G11+G12+G13+G14</f>
        <v>3972000</v>
      </c>
    </row>
    <row r="9" spans="1:7" ht="25.5" customHeight="1" x14ac:dyDescent="0.5">
      <c r="A9" s="244"/>
      <c r="B9" s="328" t="s">
        <v>1355</v>
      </c>
      <c r="C9" s="39">
        <v>1</v>
      </c>
      <c r="D9" s="39" t="s">
        <v>342</v>
      </c>
      <c r="E9" s="318">
        <v>5</v>
      </c>
      <c r="F9" s="319">
        <v>72000</v>
      </c>
      <c r="G9" s="320">
        <f t="shared" ref="G9:G14" si="0">C9*E9*F9</f>
        <v>360000</v>
      </c>
    </row>
    <row r="10" spans="1:7" x14ac:dyDescent="0.5">
      <c r="A10" s="244"/>
      <c r="B10" s="328" t="s">
        <v>1357</v>
      </c>
      <c r="C10" s="39">
        <v>2</v>
      </c>
      <c r="D10" s="39" t="s">
        <v>343</v>
      </c>
      <c r="E10" s="318">
        <v>6</v>
      </c>
      <c r="F10" s="319">
        <v>50000</v>
      </c>
      <c r="G10" s="320">
        <f t="shared" si="0"/>
        <v>600000</v>
      </c>
    </row>
    <row r="11" spans="1:7" x14ac:dyDescent="0.5">
      <c r="A11" s="244"/>
      <c r="B11" s="328" t="s">
        <v>1358</v>
      </c>
      <c r="C11" s="39">
        <v>2</v>
      </c>
      <c r="D11" s="39" t="s">
        <v>343</v>
      </c>
      <c r="E11" s="318">
        <v>5</v>
      </c>
      <c r="F11" s="319">
        <v>50000</v>
      </c>
      <c r="G11" s="320">
        <f t="shared" si="0"/>
        <v>500000</v>
      </c>
    </row>
    <row r="12" spans="1:7" ht="25.5" customHeight="1" x14ac:dyDescent="0.5">
      <c r="A12" s="244"/>
      <c r="B12" s="355" t="s">
        <v>1359</v>
      </c>
      <c r="C12" s="39">
        <v>2</v>
      </c>
      <c r="D12" s="39" t="s">
        <v>343</v>
      </c>
      <c r="E12" s="318">
        <v>5</v>
      </c>
      <c r="F12" s="319">
        <v>50000</v>
      </c>
      <c r="G12" s="320">
        <f t="shared" si="0"/>
        <v>500000</v>
      </c>
    </row>
    <row r="13" spans="1:7" ht="43.5" x14ac:dyDescent="0.5">
      <c r="A13" s="244"/>
      <c r="B13" s="358" t="s">
        <v>1360</v>
      </c>
      <c r="C13" s="39">
        <v>2</v>
      </c>
      <c r="D13" s="39" t="s">
        <v>343</v>
      </c>
      <c r="E13" s="318">
        <v>5</v>
      </c>
      <c r="F13" s="319">
        <v>50000</v>
      </c>
      <c r="G13" s="320">
        <f t="shared" si="0"/>
        <v>500000</v>
      </c>
    </row>
    <row r="14" spans="1:7" x14ac:dyDescent="0.5">
      <c r="A14" s="244"/>
      <c r="B14" s="328" t="s">
        <v>1362</v>
      </c>
      <c r="C14" s="39">
        <v>12</v>
      </c>
      <c r="D14" s="39" t="s">
        <v>344</v>
      </c>
      <c r="E14" s="318">
        <v>7</v>
      </c>
      <c r="F14" s="319">
        <v>18000</v>
      </c>
      <c r="G14" s="320">
        <f t="shared" si="0"/>
        <v>1512000</v>
      </c>
    </row>
    <row r="15" spans="1:7" ht="23.25" customHeight="1" x14ac:dyDescent="0.5">
      <c r="A15" s="244"/>
      <c r="B15" s="336" t="s">
        <v>200</v>
      </c>
      <c r="C15" s="315"/>
      <c r="D15" s="314"/>
      <c r="E15" s="321"/>
      <c r="F15" s="316"/>
      <c r="G15" s="317">
        <f>G16</f>
        <v>135000</v>
      </c>
    </row>
    <row r="16" spans="1:7" x14ac:dyDescent="0.5">
      <c r="A16" s="244"/>
      <c r="B16" s="335" t="s">
        <v>1361</v>
      </c>
      <c r="C16" s="39">
        <v>1</v>
      </c>
      <c r="D16" s="39" t="s">
        <v>345</v>
      </c>
      <c r="E16" s="39">
        <v>9</v>
      </c>
      <c r="F16" s="319">
        <v>15000</v>
      </c>
      <c r="G16" s="320">
        <f>C16*E16*F16</f>
        <v>135000</v>
      </c>
    </row>
    <row r="17" spans="1:7" x14ac:dyDescent="0.5">
      <c r="A17" s="206">
        <v>2</v>
      </c>
      <c r="B17" s="356" t="s">
        <v>201</v>
      </c>
      <c r="C17" s="39"/>
      <c r="D17" s="35"/>
      <c r="E17" s="39"/>
      <c r="F17" s="323"/>
      <c r="G17" s="320"/>
    </row>
    <row r="18" spans="1:7" x14ac:dyDescent="0.5">
      <c r="A18" s="244"/>
      <c r="B18" s="357" t="s">
        <v>346</v>
      </c>
      <c r="C18" s="315"/>
      <c r="D18" s="314"/>
      <c r="E18" s="315"/>
      <c r="F18" s="316"/>
      <c r="G18" s="324">
        <f>G19+G20+G21+G22</f>
        <v>115000</v>
      </c>
    </row>
    <row r="19" spans="1:7" x14ac:dyDescent="0.5">
      <c r="A19" s="244"/>
      <c r="B19" s="328" t="s">
        <v>267</v>
      </c>
      <c r="C19" s="39">
        <v>150</v>
      </c>
      <c r="D19" s="35"/>
      <c r="E19" s="39">
        <v>1</v>
      </c>
      <c r="F19" s="323">
        <v>500</v>
      </c>
      <c r="G19" s="309">
        <f>C19*E19*F19</f>
        <v>75000</v>
      </c>
    </row>
    <row r="20" spans="1:7" x14ac:dyDescent="0.5">
      <c r="A20" s="244"/>
      <c r="B20" s="328" t="s">
        <v>268</v>
      </c>
      <c r="C20" s="39">
        <v>150</v>
      </c>
      <c r="D20" s="35"/>
      <c r="E20" s="39">
        <v>2</v>
      </c>
      <c r="F20" s="323">
        <v>50</v>
      </c>
      <c r="G20" s="309">
        <f>C20*E20*F20</f>
        <v>15000</v>
      </c>
    </row>
    <row r="21" spans="1:7" x14ac:dyDescent="0.5">
      <c r="A21" s="244"/>
      <c r="B21" s="328" t="s">
        <v>269</v>
      </c>
      <c r="C21" s="39">
        <v>150</v>
      </c>
      <c r="D21" s="35"/>
      <c r="E21" s="39">
        <v>1</v>
      </c>
      <c r="F21" s="323">
        <v>100</v>
      </c>
      <c r="G21" s="309">
        <f>C21*E21*F21</f>
        <v>15000</v>
      </c>
    </row>
    <row r="22" spans="1:7" x14ac:dyDescent="0.5">
      <c r="A22" s="244"/>
      <c r="B22" s="328" t="s">
        <v>347</v>
      </c>
      <c r="C22" s="39"/>
      <c r="D22" s="35"/>
      <c r="E22" s="39"/>
      <c r="F22" s="323">
        <v>10000</v>
      </c>
      <c r="G22" s="309">
        <f>F22</f>
        <v>10000</v>
      </c>
    </row>
    <row r="23" spans="1:7" x14ac:dyDescent="0.5">
      <c r="A23" s="244"/>
      <c r="B23" s="357" t="s">
        <v>348</v>
      </c>
      <c r="C23" s="315"/>
      <c r="D23" s="314"/>
      <c r="E23" s="315"/>
      <c r="F23" s="316"/>
      <c r="G23" s="325">
        <f>G24+G25+G26</f>
        <v>1866000</v>
      </c>
    </row>
    <row r="24" spans="1:7" x14ac:dyDescent="0.5">
      <c r="A24" s="244"/>
      <c r="B24" s="358" t="s">
        <v>349</v>
      </c>
      <c r="C24" s="39"/>
      <c r="D24" s="35"/>
      <c r="E24" s="39"/>
      <c r="F24" s="323" t="s">
        <v>350</v>
      </c>
      <c r="G24" s="309">
        <f>2*3*50*3*1000</f>
        <v>900000</v>
      </c>
    </row>
    <row r="25" spans="1:7" x14ac:dyDescent="0.5">
      <c r="A25" s="244"/>
      <c r="B25" s="359" t="s">
        <v>351</v>
      </c>
      <c r="C25" s="39"/>
      <c r="D25" s="35"/>
      <c r="E25" s="39"/>
      <c r="F25" s="323" t="s">
        <v>352</v>
      </c>
      <c r="G25" s="309">
        <f>2*3*50*3*240</f>
        <v>216000</v>
      </c>
    </row>
    <row r="26" spans="1:7" ht="44.25" customHeight="1" x14ac:dyDescent="0.5">
      <c r="A26" s="244"/>
      <c r="B26" s="358" t="s">
        <v>353</v>
      </c>
      <c r="C26" s="39"/>
      <c r="D26" s="35"/>
      <c r="E26" s="39"/>
      <c r="F26" s="323" t="s">
        <v>354</v>
      </c>
      <c r="G26" s="309">
        <f>2*3*50*2500</f>
        <v>750000</v>
      </c>
    </row>
    <row r="27" spans="1:7" x14ac:dyDescent="0.5">
      <c r="A27" s="244"/>
      <c r="B27" s="357" t="s">
        <v>355</v>
      </c>
      <c r="C27" s="315"/>
      <c r="D27" s="314"/>
      <c r="E27" s="315"/>
      <c r="F27" s="316"/>
      <c r="G27" s="325">
        <f>G28+G29+G30</f>
        <v>49000</v>
      </c>
    </row>
    <row r="28" spans="1:7" x14ac:dyDescent="0.5">
      <c r="A28" s="244"/>
      <c r="B28" s="328" t="s">
        <v>356</v>
      </c>
      <c r="C28" s="39">
        <v>70</v>
      </c>
      <c r="D28" s="35"/>
      <c r="E28" s="39">
        <v>1</v>
      </c>
      <c r="F28" s="323">
        <v>500</v>
      </c>
      <c r="G28" s="309">
        <f>C28*E28*F28</f>
        <v>35000</v>
      </c>
    </row>
    <row r="29" spans="1:7" x14ac:dyDescent="0.5">
      <c r="A29" s="244"/>
      <c r="B29" s="328" t="s">
        <v>357</v>
      </c>
      <c r="C29" s="39">
        <v>70</v>
      </c>
      <c r="D29" s="35"/>
      <c r="E29" s="39">
        <v>2</v>
      </c>
      <c r="F29" s="323">
        <v>50</v>
      </c>
      <c r="G29" s="309">
        <f>C29*E29*F29</f>
        <v>7000</v>
      </c>
    </row>
    <row r="30" spans="1:7" x14ac:dyDescent="0.5">
      <c r="A30" s="244"/>
      <c r="B30" s="328" t="s">
        <v>358</v>
      </c>
      <c r="C30" s="39">
        <v>70</v>
      </c>
      <c r="D30" s="35"/>
      <c r="E30" s="39">
        <v>1</v>
      </c>
      <c r="F30" s="323">
        <v>100</v>
      </c>
      <c r="G30" s="309">
        <f>C30*E30*F30</f>
        <v>7000</v>
      </c>
    </row>
    <row r="31" spans="1:7" x14ac:dyDescent="0.5">
      <c r="A31" s="244"/>
      <c r="B31" s="336" t="s">
        <v>359</v>
      </c>
      <c r="C31" s="315"/>
      <c r="D31" s="314"/>
      <c r="E31" s="315"/>
      <c r="F31" s="316"/>
      <c r="G31" s="325">
        <f>G32+G33+G34+G35+G36</f>
        <v>405000</v>
      </c>
    </row>
    <row r="32" spans="1:7" x14ac:dyDescent="0.5">
      <c r="A32" s="244"/>
      <c r="B32" s="358" t="s">
        <v>280</v>
      </c>
      <c r="C32" s="39">
        <v>150</v>
      </c>
      <c r="D32" s="35"/>
      <c r="E32" s="39">
        <v>1</v>
      </c>
      <c r="F32" s="323">
        <v>500</v>
      </c>
      <c r="G32" s="309">
        <f>C32*E32*F32</f>
        <v>75000</v>
      </c>
    </row>
    <row r="33" spans="1:7" x14ac:dyDescent="0.5">
      <c r="A33" s="244"/>
      <c r="B33" s="358" t="s">
        <v>281</v>
      </c>
      <c r="C33" s="39">
        <v>150</v>
      </c>
      <c r="D33" s="35"/>
      <c r="E33" s="39">
        <v>2</v>
      </c>
      <c r="F33" s="323">
        <v>50</v>
      </c>
      <c r="G33" s="309">
        <f>C33*E33*F33</f>
        <v>15000</v>
      </c>
    </row>
    <row r="34" spans="1:7" x14ac:dyDescent="0.5">
      <c r="A34" s="244"/>
      <c r="B34" s="358" t="s">
        <v>360</v>
      </c>
      <c r="C34" s="39">
        <v>150</v>
      </c>
      <c r="D34" s="35"/>
      <c r="E34" s="39">
        <v>1</v>
      </c>
      <c r="F34" s="323">
        <v>100</v>
      </c>
      <c r="G34" s="309">
        <f>C34*E34*F34</f>
        <v>15000</v>
      </c>
    </row>
    <row r="35" spans="1:7" x14ac:dyDescent="0.5">
      <c r="A35" s="244"/>
      <c r="B35" s="358" t="s">
        <v>283</v>
      </c>
      <c r="C35" s="39">
        <v>85</v>
      </c>
      <c r="D35" s="35"/>
      <c r="E35" s="39"/>
      <c r="F35" s="323">
        <v>2500</v>
      </c>
      <c r="G35" s="309">
        <f>C35*F35</f>
        <v>212500</v>
      </c>
    </row>
    <row r="36" spans="1:7" x14ac:dyDescent="0.5">
      <c r="A36" s="244"/>
      <c r="B36" s="358" t="s">
        <v>361</v>
      </c>
      <c r="C36" s="39">
        <v>250</v>
      </c>
      <c r="D36" s="35"/>
      <c r="E36" s="39"/>
      <c r="F36" s="323">
        <v>350</v>
      </c>
      <c r="G36" s="309">
        <f>C36*F36</f>
        <v>87500</v>
      </c>
    </row>
    <row r="37" spans="1:7" x14ac:dyDescent="0.5">
      <c r="A37" s="244"/>
      <c r="B37" s="360" t="s">
        <v>362</v>
      </c>
      <c r="C37" s="315"/>
      <c r="D37" s="314"/>
      <c r="E37" s="315"/>
      <c r="F37" s="316"/>
      <c r="G37" s="325">
        <f>G38+G39+G40+G41+G42</f>
        <v>37600</v>
      </c>
    </row>
    <row r="38" spans="1:7" x14ac:dyDescent="0.5">
      <c r="A38" s="244"/>
      <c r="B38" s="328" t="s">
        <v>363</v>
      </c>
      <c r="C38" s="39">
        <v>8</v>
      </c>
      <c r="D38" s="35"/>
      <c r="E38" s="39"/>
      <c r="F38" s="326">
        <v>600</v>
      </c>
      <c r="G38" s="309">
        <f>C38*F38</f>
        <v>4800</v>
      </c>
    </row>
    <row r="39" spans="1:7" x14ac:dyDescent="0.5">
      <c r="A39" s="244"/>
      <c r="B39" s="358" t="s">
        <v>364</v>
      </c>
      <c r="C39" s="39">
        <v>8</v>
      </c>
      <c r="D39" s="35"/>
      <c r="E39" s="39"/>
      <c r="F39" s="326">
        <v>800</v>
      </c>
      <c r="G39" s="309">
        <f>C39*F39</f>
        <v>6400</v>
      </c>
    </row>
    <row r="40" spans="1:7" x14ac:dyDescent="0.5">
      <c r="A40" s="244"/>
      <c r="B40" s="358" t="s">
        <v>365</v>
      </c>
      <c r="C40" s="39">
        <v>8</v>
      </c>
      <c r="D40" s="35"/>
      <c r="E40" s="39"/>
      <c r="F40" s="326">
        <v>800</v>
      </c>
      <c r="G40" s="309">
        <f>F40*C40</f>
        <v>6400</v>
      </c>
    </row>
    <row r="41" spans="1:7" x14ac:dyDescent="0.5">
      <c r="A41" s="244"/>
      <c r="B41" s="358" t="s">
        <v>366</v>
      </c>
      <c r="C41" s="39">
        <v>8</v>
      </c>
      <c r="D41" s="35"/>
      <c r="E41" s="39"/>
      <c r="F41" s="326">
        <v>1000</v>
      </c>
      <c r="G41" s="309">
        <f>F41*C41</f>
        <v>8000</v>
      </c>
    </row>
    <row r="42" spans="1:7" x14ac:dyDescent="0.5">
      <c r="A42" s="244"/>
      <c r="B42" s="358" t="s">
        <v>367</v>
      </c>
      <c r="C42" s="39">
        <v>10</v>
      </c>
      <c r="D42" s="35"/>
      <c r="E42" s="39"/>
      <c r="F42" s="326">
        <v>1200</v>
      </c>
      <c r="G42" s="309">
        <f>C42*F42</f>
        <v>12000</v>
      </c>
    </row>
    <row r="43" spans="1:7" x14ac:dyDescent="0.5">
      <c r="A43" s="244"/>
      <c r="B43" s="336" t="s">
        <v>368</v>
      </c>
      <c r="C43" s="315"/>
      <c r="D43" s="314"/>
      <c r="E43" s="315"/>
      <c r="F43" s="327"/>
      <c r="G43" s="325">
        <f>G44+G45</f>
        <v>1375000</v>
      </c>
    </row>
    <row r="44" spans="1:7" x14ac:dyDescent="0.5">
      <c r="A44" s="244"/>
      <c r="B44" s="328" t="s">
        <v>369</v>
      </c>
      <c r="C44" s="39">
        <v>350</v>
      </c>
      <c r="D44" s="35"/>
      <c r="E44" s="39"/>
      <c r="F44" s="326">
        <v>3500</v>
      </c>
      <c r="G44" s="309">
        <f>C44*F44</f>
        <v>1225000</v>
      </c>
    </row>
    <row r="45" spans="1:7" x14ac:dyDescent="0.5">
      <c r="A45" s="244"/>
      <c r="B45" s="328" t="s">
        <v>370</v>
      </c>
      <c r="C45" s="39"/>
      <c r="D45" s="35"/>
      <c r="E45" s="39"/>
      <c r="F45" s="326"/>
      <c r="G45" s="309">
        <v>150000</v>
      </c>
    </row>
    <row r="46" spans="1:7" ht="40.5" x14ac:dyDescent="0.5">
      <c r="A46" s="244"/>
      <c r="B46" s="329" t="s">
        <v>371</v>
      </c>
      <c r="C46" s="315"/>
      <c r="D46" s="314"/>
      <c r="E46" s="315"/>
      <c r="F46" s="316" t="s">
        <v>372</v>
      </c>
      <c r="G46" s="325">
        <f>G47+G48+G49+G51+G52+G53+G54+G55+G56+G57+G58+G59+G60+G61+G62+G63+G64</f>
        <v>405600</v>
      </c>
    </row>
    <row r="47" spans="1:7" x14ac:dyDescent="0.5">
      <c r="A47" s="244"/>
      <c r="B47" s="330" t="s">
        <v>373</v>
      </c>
      <c r="C47" s="332"/>
      <c r="D47" s="331"/>
      <c r="E47" s="18">
        <v>10</v>
      </c>
      <c r="F47" s="333">
        <v>350</v>
      </c>
      <c r="G47" s="309">
        <f>E47*F47</f>
        <v>3500</v>
      </c>
    </row>
    <row r="48" spans="1:7" x14ac:dyDescent="0.5">
      <c r="A48" s="244"/>
      <c r="B48" s="330" t="s">
        <v>374</v>
      </c>
      <c r="C48" s="332"/>
      <c r="D48" s="331"/>
      <c r="E48" s="18">
        <v>500</v>
      </c>
      <c r="F48" s="333">
        <v>2</v>
      </c>
      <c r="G48" s="309">
        <f>E48*F48</f>
        <v>1000</v>
      </c>
    </row>
    <row r="49" spans="1:7" x14ac:dyDescent="0.5">
      <c r="A49" s="244"/>
      <c r="B49" s="330" t="s">
        <v>375</v>
      </c>
      <c r="C49" s="332" t="s">
        <v>242</v>
      </c>
      <c r="D49" s="331"/>
      <c r="E49" s="18"/>
      <c r="F49" s="333">
        <v>260000</v>
      </c>
      <c r="G49" s="309">
        <f>F49</f>
        <v>260000</v>
      </c>
    </row>
    <row r="50" spans="1:7" x14ac:dyDescent="0.5">
      <c r="A50" s="244"/>
      <c r="B50" s="334" t="s">
        <v>376</v>
      </c>
      <c r="C50" s="332"/>
      <c r="D50" s="331"/>
      <c r="E50" s="18"/>
      <c r="F50" s="333"/>
      <c r="G50" s="309"/>
    </row>
    <row r="51" spans="1:7" x14ac:dyDescent="0.5">
      <c r="A51" s="244"/>
      <c r="B51" s="322" t="s">
        <v>377</v>
      </c>
      <c r="C51" s="332">
        <v>2</v>
      </c>
      <c r="D51" s="331"/>
      <c r="E51" s="18"/>
      <c r="F51" s="333">
        <v>2000</v>
      </c>
      <c r="G51" s="309">
        <f>C51*F51</f>
        <v>4000</v>
      </c>
    </row>
    <row r="52" spans="1:7" x14ac:dyDescent="0.5">
      <c r="A52" s="244"/>
      <c r="B52" s="322" t="s">
        <v>378</v>
      </c>
      <c r="C52" s="332">
        <v>2</v>
      </c>
      <c r="D52" s="331"/>
      <c r="E52" s="18"/>
      <c r="F52" s="333">
        <v>2000</v>
      </c>
      <c r="G52" s="309">
        <f>C52*F52</f>
        <v>4000</v>
      </c>
    </row>
    <row r="53" spans="1:7" x14ac:dyDescent="0.5">
      <c r="A53" s="244"/>
      <c r="B53" s="335" t="s">
        <v>379</v>
      </c>
      <c r="C53" s="332">
        <v>2</v>
      </c>
      <c r="D53" s="331"/>
      <c r="E53" s="18"/>
      <c r="F53" s="333">
        <v>1000</v>
      </c>
      <c r="G53" s="309">
        <f>C53*F53</f>
        <v>2000</v>
      </c>
    </row>
    <row r="54" spans="1:7" x14ac:dyDescent="0.5">
      <c r="A54" s="244"/>
      <c r="B54" s="322" t="s">
        <v>380</v>
      </c>
      <c r="C54" s="332">
        <v>2</v>
      </c>
      <c r="D54" s="331"/>
      <c r="E54" s="18"/>
      <c r="F54" s="333">
        <v>1000</v>
      </c>
      <c r="G54" s="309">
        <f>C54*F54</f>
        <v>2000</v>
      </c>
    </row>
    <row r="55" spans="1:7" x14ac:dyDescent="0.5">
      <c r="A55" s="244"/>
      <c r="B55" s="322" t="s">
        <v>381</v>
      </c>
      <c r="C55" s="332"/>
      <c r="D55" s="331"/>
      <c r="E55" s="18"/>
      <c r="F55" s="333">
        <v>8000</v>
      </c>
      <c r="G55" s="309">
        <f>F55</f>
        <v>8000</v>
      </c>
    </row>
    <row r="56" spans="1:7" x14ac:dyDescent="0.5">
      <c r="A56" s="244"/>
      <c r="B56" s="322" t="s">
        <v>382</v>
      </c>
      <c r="C56" s="332"/>
      <c r="D56" s="331"/>
      <c r="E56" s="18"/>
      <c r="F56" s="333">
        <v>8000</v>
      </c>
      <c r="G56" s="309">
        <f>F56</f>
        <v>8000</v>
      </c>
    </row>
    <row r="57" spans="1:7" x14ac:dyDescent="0.5">
      <c r="A57" s="244"/>
      <c r="B57" s="322" t="s">
        <v>383</v>
      </c>
      <c r="C57" s="332"/>
      <c r="D57" s="331"/>
      <c r="E57" s="18"/>
      <c r="F57" s="333">
        <v>300</v>
      </c>
      <c r="G57" s="309">
        <f>F57</f>
        <v>300</v>
      </c>
    </row>
    <row r="58" spans="1:7" x14ac:dyDescent="0.5">
      <c r="A58" s="244"/>
      <c r="B58" s="335" t="s">
        <v>384</v>
      </c>
      <c r="C58" s="332"/>
      <c r="D58" s="331"/>
      <c r="E58" s="18">
        <v>6</v>
      </c>
      <c r="F58" s="333">
        <v>300</v>
      </c>
      <c r="G58" s="309">
        <f>E58*F58</f>
        <v>1800</v>
      </c>
    </row>
    <row r="59" spans="1:7" x14ac:dyDescent="0.5">
      <c r="A59" s="244"/>
      <c r="B59" s="322" t="s">
        <v>385</v>
      </c>
      <c r="C59" s="332"/>
      <c r="D59" s="331"/>
      <c r="E59" s="18"/>
      <c r="F59" s="333">
        <v>1000</v>
      </c>
      <c r="G59" s="309">
        <f>F59</f>
        <v>1000</v>
      </c>
    </row>
    <row r="60" spans="1:7" x14ac:dyDescent="0.5">
      <c r="A60" s="244"/>
      <c r="B60" s="322" t="s">
        <v>386</v>
      </c>
      <c r="C60" s="332"/>
      <c r="D60" s="331"/>
      <c r="E60" s="18">
        <v>3</v>
      </c>
      <c r="F60" s="333">
        <v>3000</v>
      </c>
      <c r="G60" s="309">
        <f>E60*F60</f>
        <v>9000</v>
      </c>
    </row>
    <row r="61" spans="1:7" x14ac:dyDescent="0.5">
      <c r="A61" s="244"/>
      <c r="B61" s="335" t="s">
        <v>387</v>
      </c>
      <c r="C61" s="332"/>
      <c r="D61" s="331"/>
      <c r="E61" s="18">
        <v>240</v>
      </c>
      <c r="F61" s="333">
        <v>300</v>
      </c>
      <c r="G61" s="309">
        <f>E61*F61</f>
        <v>72000</v>
      </c>
    </row>
    <row r="62" spans="1:7" x14ac:dyDescent="0.5">
      <c r="A62" s="244"/>
      <c r="B62" s="322" t="s">
        <v>388</v>
      </c>
      <c r="C62" s="332"/>
      <c r="D62" s="331"/>
      <c r="E62" s="18">
        <v>3</v>
      </c>
      <c r="F62" s="333">
        <v>4500</v>
      </c>
      <c r="G62" s="309">
        <f>E62*F62</f>
        <v>13500</v>
      </c>
    </row>
    <row r="63" spans="1:7" x14ac:dyDescent="0.5">
      <c r="A63" s="244"/>
      <c r="B63" s="322" t="s">
        <v>389</v>
      </c>
      <c r="C63" s="332"/>
      <c r="D63" s="331"/>
      <c r="E63" s="18">
        <v>1</v>
      </c>
      <c r="F63" s="333">
        <v>12500</v>
      </c>
      <c r="G63" s="309">
        <f>E63*F63</f>
        <v>12500</v>
      </c>
    </row>
    <row r="64" spans="1:7" x14ac:dyDescent="0.5">
      <c r="A64" s="244"/>
      <c r="B64" s="322" t="s">
        <v>390</v>
      </c>
      <c r="C64" s="332"/>
      <c r="D64" s="331"/>
      <c r="E64" s="18">
        <v>2</v>
      </c>
      <c r="F64" s="333">
        <v>1500</v>
      </c>
      <c r="G64" s="309">
        <f>E64*F64</f>
        <v>3000</v>
      </c>
    </row>
    <row r="65" spans="1:7" x14ac:dyDescent="0.5">
      <c r="A65" s="246"/>
      <c r="B65" s="336" t="s">
        <v>252</v>
      </c>
      <c r="C65" s="315"/>
      <c r="D65" s="314"/>
      <c r="E65" s="315"/>
      <c r="F65" s="316">
        <v>4800</v>
      </c>
      <c r="G65" s="325">
        <f>F65</f>
        <v>4800</v>
      </c>
    </row>
    <row r="66" spans="1:7" s="238" customFormat="1" ht="21" customHeight="1" x14ac:dyDescent="0.2">
      <c r="G66" s="241"/>
    </row>
  </sheetData>
  <mergeCells count="8">
    <mergeCell ref="G2:G5"/>
    <mergeCell ref="E3:E5"/>
    <mergeCell ref="F3:F5"/>
    <mergeCell ref="A2:A5"/>
    <mergeCell ref="B2:B3"/>
    <mergeCell ref="B4:B5"/>
    <mergeCell ref="C3:C5"/>
    <mergeCell ref="D3:D5"/>
  </mergeCells>
  <pageMargins left="0.31496062992125984" right="0.31496062992125984" top="0.55118110236220474" bottom="0.55118110236220474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view="pageBreakPreview" zoomScale="150" zoomScaleNormal="100" zoomScaleSheetLayoutView="150" workbookViewId="0">
      <selection activeCell="B16" sqref="B16"/>
    </sheetView>
  </sheetViews>
  <sheetFormatPr defaultColWidth="8.375" defaultRowHeight="21.75" x14ac:dyDescent="0.5"/>
  <cols>
    <col min="1" max="1" width="4.75" style="23" customWidth="1"/>
    <col min="2" max="2" width="76.875" style="168" customWidth="1"/>
    <col min="3" max="3" width="6.5" style="166" hidden="1" customWidth="1"/>
    <col min="4" max="4" width="7.625" style="23" hidden="1" customWidth="1"/>
    <col min="5" max="5" width="6.125" style="166" hidden="1" customWidth="1"/>
    <col min="6" max="6" width="0.125" style="23" customWidth="1"/>
    <col min="7" max="7" width="10.25" style="167" customWidth="1"/>
    <col min="8" max="8" width="12.125" style="23" bestFit="1" customWidth="1"/>
    <col min="9" max="16384" width="8.375" style="23"/>
  </cols>
  <sheetData>
    <row r="1" spans="1:8" s="43" customFormat="1" ht="24" thickBot="1" x14ac:dyDescent="0.55000000000000004">
      <c r="A1" s="823" t="s">
        <v>16</v>
      </c>
      <c r="B1" s="823"/>
      <c r="C1" s="823"/>
      <c r="D1" s="823"/>
      <c r="E1" s="823"/>
      <c r="F1" s="823"/>
      <c r="G1" s="823"/>
    </row>
    <row r="2" spans="1:8" s="169" customFormat="1" ht="18.75" customHeight="1" x14ac:dyDescent="0.3">
      <c r="A2" s="871" t="s">
        <v>189</v>
      </c>
      <c r="B2" s="799" t="s">
        <v>300</v>
      </c>
      <c r="C2" s="798" t="s">
        <v>56</v>
      </c>
      <c r="D2" s="798"/>
      <c r="E2" s="798"/>
      <c r="F2" s="798"/>
      <c r="G2" s="874" t="s">
        <v>1</v>
      </c>
    </row>
    <row r="3" spans="1:8" s="169" customFormat="1" ht="18.75" customHeight="1" x14ac:dyDescent="0.3">
      <c r="A3" s="872"/>
      <c r="B3" s="848" t="s">
        <v>420</v>
      </c>
      <c r="C3" s="868" t="s">
        <v>261</v>
      </c>
      <c r="D3" s="869" t="s">
        <v>190</v>
      </c>
      <c r="E3" s="869" t="s">
        <v>191</v>
      </c>
      <c r="F3" s="870" t="s">
        <v>192</v>
      </c>
      <c r="G3" s="875"/>
    </row>
    <row r="4" spans="1:8" s="169" customFormat="1" ht="12" customHeight="1" x14ac:dyDescent="0.3">
      <c r="A4" s="872"/>
      <c r="B4" s="867"/>
      <c r="C4" s="868" t="s">
        <v>193</v>
      </c>
      <c r="D4" s="869"/>
      <c r="E4" s="869"/>
      <c r="F4" s="870"/>
      <c r="G4" s="876"/>
    </row>
    <row r="5" spans="1:8" s="169" customFormat="1" ht="19.5" hidden="1" thickBot="1" x14ac:dyDescent="0.35">
      <c r="A5" s="873"/>
      <c r="B5" s="806"/>
      <c r="C5" s="795"/>
      <c r="D5" s="790"/>
      <c r="E5" s="790"/>
      <c r="F5" s="802"/>
      <c r="G5" s="803"/>
    </row>
    <row r="6" spans="1:8" ht="22.5" thickBot="1" x14ac:dyDescent="0.55000000000000004">
      <c r="A6" s="805"/>
      <c r="B6" s="807" t="s">
        <v>2</v>
      </c>
      <c r="C6" s="800"/>
      <c r="D6" s="786"/>
      <c r="E6" s="797"/>
      <c r="F6" s="788"/>
      <c r="G6" s="804">
        <f>G8+G14+G16</f>
        <v>4000000</v>
      </c>
    </row>
    <row r="7" spans="1:8" x14ac:dyDescent="0.5">
      <c r="A7" s="206">
        <v>1</v>
      </c>
      <c r="B7" s="801" t="s">
        <v>338</v>
      </c>
      <c r="C7" s="178"/>
      <c r="D7" s="179"/>
      <c r="E7" s="178"/>
      <c r="F7" s="179"/>
      <c r="G7" s="338"/>
    </row>
    <row r="8" spans="1:8" ht="21.75" customHeight="1" x14ac:dyDescent="0.5">
      <c r="A8" s="244"/>
      <c r="B8" s="217" t="s">
        <v>195</v>
      </c>
      <c r="C8" s="186"/>
      <c r="D8" s="185"/>
      <c r="E8" s="186"/>
      <c r="F8" s="185"/>
      <c r="G8" s="339">
        <f>SUM(G9:G13)</f>
        <v>2330000</v>
      </c>
      <c r="H8" s="340"/>
    </row>
    <row r="9" spans="1:8" x14ac:dyDescent="0.5">
      <c r="A9" s="244"/>
      <c r="B9" s="218" t="s">
        <v>1356</v>
      </c>
      <c r="C9" s="42">
        <v>1</v>
      </c>
      <c r="D9" s="42" t="s">
        <v>391</v>
      </c>
      <c r="E9" s="195">
        <v>5</v>
      </c>
      <c r="F9" s="223">
        <v>70000</v>
      </c>
      <c r="G9" s="181">
        <f>C9*E9*F9</f>
        <v>350000</v>
      </c>
      <c r="H9" s="340"/>
    </row>
    <row r="10" spans="1:8" x14ac:dyDescent="0.5">
      <c r="A10" s="244"/>
      <c r="B10" s="218" t="s">
        <v>1350</v>
      </c>
      <c r="C10" s="42">
        <v>1</v>
      </c>
      <c r="D10" s="42" t="s">
        <v>301</v>
      </c>
      <c r="E10" s="195">
        <v>6</v>
      </c>
      <c r="F10" s="223">
        <v>60000</v>
      </c>
      <c r="G10" s="181">
        <f>C10*E10*F10</f>
        <v>360000</v>
      </c>
    </row>
    <row r="11" spans="1:8" x14ac:dyDescent="0.5">
      <c r="A11" s="244"/>
      <c r="B11" s="218" t="s">
        <v>1351</v>
      </c>
      <c r="C11" s="42">
        <v>1</v>
      </c>
      <c r="D11" s="42" t="s">
        <v>302</v>
      </c>
      <c r="E11" s="195">
        <v>6</v>
      </c>
      <c r="F11" s="223">
        <v>60000</v>
      </c>
      <c r="G11" s="181">
        <f>C11*E11*F11</f>
        <v>360000</v>
      </c>
    </row>
    <row r="12" spans="1:8" x14ac:dyDescent="0.5">
      <c r="A12" s="244"/>
      <c r="B12" s="341" t="s">
        <v>1352</v>
      </c>
      <c r="C12" s="42">
        <v>1</v>
      </c>
      <c r="D12" s="42" t="s">
        <v>301</v>
      </c>
      <c r="E12" s="195">
        <v>6</v>
      </c>
      <c r="F12" s="223">
        <v>60000</v>
      </c>
      <c r="G12" s="181">
        <f>C12*E12*F12</f>
        <v>360000</v>
      </c>
    </row>
    <row r="13" spans="1:8" ht="21.75" customHeight="1" x14ac:dyDescent="0.5">
      <c r="A13" s="244"/>
      <c r="B13" s="218" t="s">
        <v>1353</v>
      </c>
      <c r="C13" s="42">
        <v>4</v>
      </c>
      <c r="D13" s="42" t="s">
        <v>392</v>
      </c>
      <c r="E13" s="195">
        <v>9</v>
      </c>
      <c r="F13" s="223">
        <v>25000</v>
      </c>
      <c r="G13" s="181">
        <f>C13*E13*F13</f>
        <v>900000</v>
      </c>
    </row>
    <row r="14" spans="1:8" x14ac:dyDescent="0.5">
      <c r="A14" s="244"/>
      <c r="B14" s="217" t="s">
        <v>200</v>
      </c>
      <c r="C14" s="186"/>
      <c r="D14" s="185"/>
      <c r="E14" s="342"/>
      <c r="F14" s="185"/>
      <c r="G14" s="339">
        <f>G15</f>
        <v>324000</v>
      </c>
    </row>
    <row r="15" spans="1:8" x14ac:dyDescent="0.5">
      <c r="A15" s="244"/>
      <c r="B15" s="808" t="s">
        <v>1354</v>
      </c>
      <c r="C15" s="626">
        <v>2</v>
      </c>
      <c r="D15" s="626" t="s">
        <v>393</v>
      </c>
      <c r="E15" s="626">
        <v>9</v>
      </c>
      <c r="F15" s="809">
        <v>18000</v>
      </c>
      <c r="G15" s="810">
        <f>C15*E15*F15</f>
        <v>324000</v>
      </c>
    </row>
    <row r="16" spans="1:8" x14ac:dyDescent="0.5">
      <c r="A16" s="205">
        <v>2</v>
      </c>
      <c r="B16" s="217" t="s">
        <v>201</v>
      </c>
      <c r="C16" s="186"/>
      <c r="D16" s="185"/>
      <c r="E16" s="186"/>
      <c r="F16" s="185"/>
      <c r="G16" s="339">
        <f>G17+G20+G25+G29+G38+G44</f>
        <v>1346000</v>
      </c>
    </row>
    <row r="17" spans="1:8" x14ac:dyDescent="0.5">
      <c r="A17" s="244"/>
      <c r="B17" s="343" t="s">
        <v>394</v>
      </c>
      <c r="C17" s="186"/>
      <c r="D17" s="185"/>
      <c r="E17" s="186"/>
      <c r="F17" s="185"/>
      <c r="G17" s="180">
        <f>SUM(G18:G19)</f>
        <v>91000</v>
      </c>
      <c r="H17" s="340"/>
    </row>
    <row r="18" spans="1:8" x14ac:dyDescent="0.5">
      <c r="A18" s="244"/>
      <c r="B18" s="346" t="s">
        <v>395</v>
      </c>
      <c r="C18" s="42">
        <v>200</v>
      </c>
      <c r="D18" s="41"/>
      <c r="E18" s="42"/>
      <c r="F18" s="41">
        <v>5</v>
      </c>
      <c r="G18" s="181">
        <f>F18*C18</f>
        <v>1000</v>
      </c>
      <c r="H18" s="340"/>
    </row>
    <row r="19" spans="1:8" x14ac:dyDescent="0.5">
      <c r="A19" s="244"/>
      <c r="B19" s="346" t="s">
        <v>396</v>
      </c>
      <c r="C19" s="42" t="s">
        <v>242</v>
      </c>
      <c r="D19" s="41"/>
      <c r="E19" s="42"/>
      <c r="F19" s="41">
        <v>90000</v>
      </c>
      <c r="G19" s="181">
        <f>F19</f>
        <v>90000</v>
      </c>
      <c r="H19" s="340"/>
    </row>
    <row r="20" spans="1:8" x14ac:dyDescent="0.5">
      <c r="A20" s="244"/>
      <c r="B20" s="347" t="s">
        <v>397</v>
      </c>
      <c r="C20" s="42"/>
      <c r="D20" s="41"/>
      <c r="E20" s="42"/>
      <c r="F20" s="41"/>
      <c r="G20" s="180">
        <f>SUM(G21:G24)</f>
        <v>61000</v>
      </c>
      <c r="H20" s="340"/>
    </row>
    <row r="21" spans="1:8" x14ac:dyDescent="0.5">
      <c r="A21" s="244"/>
      <c r="B21" s="348" t="s">
        <v>398</v>
      </c>
      <c r="C21" s="42">
        <v>80</v>
      </c>
      <c r="D21" s="41"/>
      <c r="E21" s="42">
        <v>1</v>
      </c>
      <c r="F21" s="41">
        <v>500</v>
      </c>
      <c r="G21" s="181">
        <f>F21*E21*C21</f>
        <v>40000</v>
      </c>
      <c r="H21" s="340"/>
    </row>
    <row r="22" spans="1:8" x14ac:dyDescent="0.5">
      <c r="A22" s="244"/>
      <c r="B22" s="348" t="s">
        <v>399</v>
      </c>
      <c r="C22" s="42">
        <v>80</v>
      </c>
      <c r="D22" s="41"/>
      <c r="E22" s="42">
        <v>2</v>
      </c>
      <c r="F22" s="41">
        <v>50</v>
      </c>
      <c r="G22" s="181">
        <f>F22*E22*C22</f>
        <v>8000</v>
      </c>
    </row>
    <row r="23" spans="1:8" x14ac:dyDescent="0.5">
      <c r="A23" s="244"/>
      <c r="B23" s="349" t="s">
        <v>400</v>
      </c>
      <c r="C23" s="149">
        <v>80</v>
      </c>
      <c r="D23" s="148"/>
      <c r="E23" s="149"/>
      <c r="F23" s="148">
        <v>100</v>
      </c>
      <c r="G23" s="338">
        <f>F23*C23</f>
        <v>8000</v>
      </c>
    </row>
    <row r="24" spans="1:8" x14ac:dyDescent="0.5">
      <c r="A24" s="244"/>
      <c r="B24" s="348" t="s">
        <v>401</v>
      </c>
      <c r="C24" s="42"/>
      <c r="D24" s="41"/>
      <c r="E24" s="42"/>
      <c r="F24" s="41">
        <v>5000</v>
      </c>
      <c r="G24" s="181">
        <f>F24</f>
        <v>5000</v>
      </c>
    </row>
    <row r="25" spans="1:8" x14ac:dyDescent="0.5">
      <c r="A25" s="244"/>
      <c r="B25" s="343" t="s">
        <v>402</v>
      </c>
      <c r="C25" s="186"/>
      <c r="D25" s="185"/>
      <c r="E25" s="186"/>
      <c r="F25" s="344"/>
      <c r="G25" s="180">
        <f>SUM(G26:G28)</f>
        <v>602400</v>
      </c>
    </row>
    <row r="26" spans="1:8" x14ac:dyDescent="0.5">
      <c r="A26" s="244"/>
      <c r="B26" s="352" t="s">
        <v>403</v>
      </c>
      <c r="C26" s="42">
        <v>3</v>
      </c>
      <c r="D26" s="41"/>
      <c r="E26" s="42">
        <v>60</v>
      </c>
      <c r="F26" s="41">
        <v>1200</v>
      </c>
      <c r="G26" s="181">
        <f>F26*E26*C26</f>
        <v>216000</v>
      </c>
    </row>
    <row r="27" spans="1:8" x14ac:dyDescent="0.5">
      <c r="A27" s="244"/>
      <c r="B27" s="353" t="s">
        <v>404</v>
      </c>
      <c r="C27" s="42">
        <v>3</v>
      </c>
      <c r="D27" s="41"/>
      <c r="E27" s="42">
        <v>120</v>
      </c>
      <c r="F27" s="41">
        <v>240</v>
      </c>
      <c r="G27" s="181">
        <f>F27*E27*C27</f>
        <v>86400</v>
      </c>
    </row>
    <row r="28" spans="1:8" x14ac:dyDescent="0.5">
      <c r="A28" s="244"/>
      <c r="B28" s="352" t="s">
        <v>405</v>
      </c>
      <c r="C28" s="42"/>
      <c r="D28" s="41"/>
      <c r="E28" s="42">
        <v>120</v>
      </c>
      <c r="F28" s="41">
        <v>2500</v>
      </c>
      <c r="G28" s="181">
        <f>F28*E28</f>
        <v>300000</v>
      </c>
    </row>
    <row r="29" spans="1:8" x14ac:dyDescent="0.5">
      <c r="A29" s="244"/>
      <c r="B29" s="217" t="s">
        <v>406</v>
      </c>
      <c r="C29" s="186"/>
      <c r="D29" s="185"/>
      <c r="E29" s="186"/>
      <c r="F29" s="185"/>
      <c r="G29" s="180">
        <f>SUM(G30:G37)</f>
        <v>500000</v>
      </c>
    </row>
    <row r="30" spans="1:8" x14ac:dyDescent="0.5">
      <c r="A30" s="244"/>
      <c r="B30" s="351" t="s">
        <v>407</v>
      </c>
      <c r="C30" s="42">
        <v>100</v>
      </c>
      <c r="D30" s="41"/>
      <c r="E30" s="42">
        <v>1</v>
      </c>
      <c r="F30" s="41">
        <v>500</v>
      </c>
      <c r="G30" s="181">
        <f>F30*E30*C30</f>
        <v>50000</v>
      </c>
    </row>
    <row r="31" spans="1:8" x14ac:dyDescent="0.5">
      <c r="A31" s="244"/>
      <c r="B31" s="351" t="s">
        <v>408</v>
      </c>
      <c r="C31" s="42">
        <v>100</v>
      </c>
      <c r="D31" s="41"/>
      <c r="E31" s="42">
        <v>2</v>
      </c>
      <c r="F31" s="41">
        <v>50</v>
      </c>
      <c r="G31" s="181">
        <f>F31*E31*C31</f>
        <v>10000</v>
      </c>
    </row>
    <row r="32" spans="1:8" x14ac:dyDescent="0.5">
      <c r="A32" s="244"/>
      <c r="B32" s="351" t="s">
        <v>409</v>
      </c>
      <c r="C32" s="42">
        <v>100</v>
      </c>
      <c r="D32" s="41"/>
      <c r="E32" s="42">
        <v>1</v>
      </c>
      <c r="F32" s="41">
        <v>100</v>
      </c>
      <c r="G32" s="181">
        <f>F32*E32*C32</f>
        <v>10000</v>
      </c>
    </row>
    <row r="33" spans="1:7" x14ac:dyDescent="0.5">
      <c r="A33" s="244"/>
      <c r="B33" s="348" t="s">
        <v>401</v>
      </c>
      <c r="C33" s="42"/>
      <c r="D33" s="41"/>
      <c r="E33" s="42"/>
      <c r="F33" s="41">
        <v>5000</v>
      </c>
      <c r="G33" s="181">
        <f>F33</f>
        <v>5000</v>
      </c>
    </row>
    <row r="34" spans="1:7" x14ac:dyDescent="0.5">
      <c r="A34" s="244"/>
      <c r="B34" s="350" t="s">
        <v>410</v>
      </c>
      <c r="C34" s="42">
        <v>20</v>
      </c>
      <c r="D34" s="41"/>
      <c r="E34" s="42">
        <v>1</v>
      </c>
      <c r="F34" s="41">
        <v>500</v>
      </c>
      <c r="G34" s="181">
        <f>C34*E34*F34</f>
        <v>10000</v>
      </c>
    </row>
    <row r="35" spans="1:7" x14ac:dyDescent="0.5">
      <c r="A35" s="244"/>
      <c r="B35" s="350" t="s">
        <v>411</v>
      </c>
      <c r="C35" s="42">
        <v>20</v>
      </c>
      <c r="D35" s="41"/>
      <c r="E35" s="42">
        <v>1</v>
      </c>
      <c r="F35" s="41">
        <v>2000</v>
      </c>
      <c r="G35" s="181">
        <f>C35*E35*F35</f>
        <v>40000</v>
      </c>
    </row>
    <row r="36" spans="1:7" x14ac:dyDescent="0.5">
      <c r="A36" s="244"/>
      <c r="B36" s="348" t="s">
        <v>412</v>
      </c>
      <c r="C36" s="42">
        <v>150</v>
      </c>
      <c r="D36" s="41"/>
      <c r="E36" s="42">
        <v>1</v>
      </c>
      <c r="F36" s="41">
        <v>1500</v>
      </c>
      <c r="G36" s="181">
        <f>C36*E36*F36</f>
        <v>225000</v>
      </c>
    </row>
    <row r="37" spans="1:7" x14ac:dyDescent="0.5">
      <c r="A37" s="244"/>
      <c r="B37" s="350" t="s">
        <v>413</v>
      </c>
      <c r="C37" s="42">
        <v>150</v>
      </c>
      <c r="D37" s="41"/>
      <c r="E37" s="42">
        <v>1</v>
      </c>
      <c r="F37" s="41">
        <v>1000</v>
      </c>
      <c r="G37" s="181">
        <f>C37*E37*F37</f>
        <v>150000</v>
      </c>
    </row>
    <row r="38" spans="1:7" x14ac:dyDescent="0.5">
      <c r="A38" s="244"/>
      <c r="B38" s="345" t="s">
        <v>414</v>
      </c>
      <c r="C38" s="186"/>
      <c r="D38" s="185"/>
      <c r="E38" s="186"/>
      <c r="F38" s="185"/>
      <c r="G38" s="180">
        <f>SUM(G39:G43)</f>
        <v>87400</v>
      </c>
    </row>
    <row r="39" spans="1:7" x14ac:dyDescent="0.5">
      <c r="A39" s="244"/>
      <c r="B39" s="350" t="s">
        <v>415</v>
      </c>
      <c r="C39" s="42">
        <v>9</v>
      </c>
      <c r="D39" s="41"/>
      <c r="E39" s="42">
        <v>1</v>
      </c>
      <c r="F39" s="183">
        <v>800</v>
      </c>
      <c r="G39" s="181">
        <f>F39*E39*C39</f>
        <v>7200</v>
      </c>
    </row>
    <row r="40" spans="1:7" x14ac:dyDescent="0.5">
      <c r="A40" s="244"/>
      <c r="B40" s="350" t="s">
        <v>416</v>
      </c>
      <c r="C40" s="42">
        <v>9</v>
      </c>
      <c r="D40" s="41"/>
      <c r="E40" s="42">
        <v>1</v>
      </c>
      <c r="F40" s="183">
        <v>800</v>
      </c>
      <c r="G40" s="181">
        <f>F40*E40*C40</f>
        <v>7200</v>
      </c>
    </row>
    <row r="41" spans="1:7" x14ac:dyDescent="0.5">
      <c r="A41" s="244"/>
      <c r="B41" s="350" t="s">
        <v>417</v>
      </c>
      <c r="C41" s="42">
        <v>9</v>
      </c>
      <c r="D41" s="41"/>
      <c r="E41" s="42">
        <v>1</v>
      </c>
      <c r="F41" s="183">
        <v>1000</v>
      </c>
      <c r="G41" s="181">
        <f>F41*E41*C41</f>
        <v>9000</v>
      </c>
    </row>
    <row r="42" spans="1:7" x14ac:dyDescent="0.5">
      <c r="A42" s="244"/>
      <c r="B42" s="350" t="s">
        <v>418</v>
      </c>
      <c r="C42" s="42">
        <v>20</v>
      </c>
      <c r="D42" s="41"/>
      <c r="E42" s="42">
        <v>1</v>
      </c>
      <c r="F42" s="232">
        <v>1200</v>
      </c>
      <c r="G42" s="181">
        <f>F42*E42*C42</f>
        <v>24000</v>
      </c>
    </row>
    <row r="43" spans="1:7" x14ac:dyDescent="0.5">
      <c r="A43" s="244"/>
      <c r="B43" s="350" t="s">
        <v>419</v>
      </c>
      <c r="C43" s="186">
        <v>40</v>
      </c>
      <c r="D43" s="185"/>
      <c r="E43" s="186">
        <v>1</v>
      </c>
      <c r="F43" s="185">
        <v>1000</v>
      </c>
      <c r="G43" s="181">
        <f>F43*E43*C43</f>
        <v>40000</v>
      </c>
    </row>
    <row r="44" spans="1:7" x14ac:dyDescent="0.5">
      <c r="A44" s="246"/>
      <c r="B44" s="217" t="s">
        <v>293</v>
      </c>
      <c r="C44" s="186"/>
      <c r="D44" s="185"/>
      <c r="E44" s="186"/>
      <c r="F44" s="185"/>
      <c r="G44" s="180">
        <v>4200</v>
      </c>
    </row>
    <row r="45" spans="1:7" s="238" customFormat="1" ht="21" customHeight="1" x14ac:dyDescent="0.2">
      <c r="B45" s="286" t="s">
        <v>253</v>
      </c>
      <c r="C45" s="239"/>
      <c r="D45" s="239"/>
      <c r="E45" s="239"/>
      <c r="F45" s="239"/>
      <c r="G45" s="240"/>
    </row>
    <row r="46" spans="1:7" s="238" customFormat="1" ht="21" customHeight="1" x14ac:dyDescent="0.2">
      <c r="G46" s="241"/>
    </row>
  </sheetData>
  <mergeCells count="8">
    <mergeCell ref="A1:G1"/>
    <mergeCell ref="B3:B4"/>
    <mergeCell ref="C3:C4"/>
    <mergeCell ref="D3:D4"/>
    <mergeCell ref="E3:E4"/>
    <mergeCell ref="F3:F4"/>
    <mergeCell ref="A2:A5"/>
    <mergeCell ref="G2:G4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1"/>
  <sheetViews>
    <sheetView topLeftCell="A3" workbookViewId="0">
      <selection activeCell="B21" sqref="B21"/>
    </sheetView>
  </sheetViews>
  <sheetFormatPr defaultRowHeight="21.75" x14ac:dyDescent="0.5"/>
  <cols>
    <col min="1" max="1" width="6.875" style="51" customWidth="1"/>
    <col min="2" max="2" width="88" style="43" customWidth="1"/>
    <col min="3" max="3" width="18.625" style="146" customWidth="1"/>
    <col min="4" max="4" width="9" style="43"/>
    <col min="5" max="5" width="12.25" style="43" bestFit="1" customWidth="1"/>
    <col min="6" max="256" width="9" style="43"/>
    <col min="257" max="257" width="6.875" style="43" customWidth="1"/>
    <col min="258" max="258" width="88" style="43" customWidth="1"/>
    <col min="259" max="259" width="18.625" style="43" customWidth="1"/>
    <col min="260" max="260" width="9" style="43"/>
    <col min="261" max="261" width="12.25" style="43" bestFit="1" customWidth="1"/>
    <col min="262" max="512" width="9" style="43"/>
    <col min="513" max="513" width="6.875" style="43" customWidth="1"/>
    <col min="514" max="514" width="88" style="43" customWidth="1"/>
    <col min="515" max="515" width="18.625" style="43" customWidth="1"/>
    <col min="516" max="516" width="9" style="43"/>
    <col min="517" max="517" width="12.25" style="43" bestFit="1" customWidth="1"/>
    <col min="518" max="768" width="9" style="43"/>
    <col min="769" max="769" width="6.875" style="43" customWidth="1"/>
    <col min="770" max="770" width="88" style="43" customWidth="1"/>
    <col min="771" max="771" width="18.625" style="43" customWidth="1"/>
    <col min="772" max="772" width="9" style="43"/>
    <col min="773" max="773" width="12.25" style="43" bestFit="1" customWidth="1"/>
    <col min="774" max="1024" width="9" style="43"/>
    <col min="1025" max="1025" width="6.875" style="43" customWidth="1"/>
    <col min="1026" max="1026" width="88" style="43" customWidth="1"/>
    <col min="1027" max="1027" width="18.625" style="43" customWidth="1"/>
    <col min="1028" max="1028" width="9" style="43"/>
    <col min="1029" max="1029" width="12.25" style="43" bestFit="1" customWidth="1"/>
    <col min="1030" max="1280" width="9" style="43"/>
    <col min="1281" max="1281" width="6.875" style="43" customWidth="1"/>
    <col min="1282" max="1282" width="88" style="43" customWidth="1"/>
    <col min="1283" max="1283" width="18.625" style="43" customWidth="1"/>
    <col min="1284" max="1284" width="9" style="43"/>
    <col min="1285" max="1285" width="12.25" style="43" bestFit="1" customWidth="1"/>
    <col min="1286" max="1536" width="9" style="43"/>
    <col min="1537" max="1537" width="6.875" style="43" customWidth="1"/>
    <col min="1538" max="1538" width="88" style="43" customWidth="1"/>
    <col min="1539" max="1539" width="18.625" style="43" customWidth="1"/>
    <col min="1540" max="1540" width="9" style="43"/>
    <col min="1541" max="1541" width="12.25" style="43" bestFit="1" customWidth="1"/>
    <col min="1542" max="1792" width="9" style="43"/>
    <col min="1793" max="1793" width="6.875" style="43" customWidth="1"/>
    <col min="1794" max="1794" width="88" style="43" customWidth="1"/>
    <col min="1795" max="1795" width="18.625" style="43" customWidth="1"/>
    <col min="1796" max="1796" width="9" style="43"/>
    <col min="1797" max="1797" width="12.25" style="43" bestFit="1" customWidth="1"/>
    <col min="1798" max="2048" width="9" style="43"/>
    <col min="2049" max="2049" width="6.875" style="43" customWidth="1"/>
    <col min="2050" max="2050" width="88" style="43" customWidth="1"/>
    <col min="2051" max="2051" width="18.625" style="43" customWidth="1"/>
    <col min="2052" max="2052" width="9" style="43"/>
    <col min="2053" max="2053" width="12.25" style="43" bestFit="1" customWidth="1"/>
    <col min="2054" max="2304" width="9" style="43"/>
    <col min="2305" max="2305" width="6.875" style="43" customWidth="1"/>
    <col min="2306" max="2306" width="88" style="43" customWidth="1"/>
    <col min="2307" max="2307" width="18.625" style="43" customWidth="1"/>
    <col min="2308" max="2308" width="9" style="43"/>
    <col min="2309" max="2309" width="12.25" style="43" bestFit="1" customWidth="1"/>
    <col min="2310" max="2560" width="9" style="43"/>
    <col min="2561" max="2561" width="6.875" style="43" customWidth="1"/>
    <col min="2562" max="2562" width="88" style="43" customWidth="1"/>
    <col min="2563" max="2563" width="18.625" style="43" customWidth="1"/>
    <col min="2564" max="2564" width="9" style="43"/>
    <col min="2565" max="2565" width="12.25" style="43" bestFit="1" customWidth="1"/>
    <col min="2566" max="2816" width="9" style="43"/>
    <col min="2817" max="2817" width="6.875" style="43" customWidth="1"/>
    <col min="2818" max="2818" width="88" style="43" customWidth="1"/>
    <col min="2819" max="2819" width="18.625" style="43" customWidth="1"/>
    <col min="2820" max="2820" width="9" style="43"/>
    <col min="2821" max="2821" width="12.25" style="43" bestFit="1" customWidth="1"/>
    <col min="2822" max="3072" width="9" style="43"/>
    <col min="3073" max="3073" width="6.875" style="43" customWidth="1"/>
    <col min="3074" max="3074" width="88" style="43" customWidth="1"/>
    <col min="3075" max="3075" width="18.625" style="43" customWidth="1"/>
    <col min="3076" max="3076" width="9" style="43"/>
    <col min="3077" max="3077" width="12.25" style="43" bestFit="1" customWidth="1"/>
    <col min="3078" max="3328" width="9" style="43"/>
    <col min="3329" max="3329" width="6.875" style="43" customWidth="1"/>
    <col min="3330" max="3330" width="88" style="43" customWidth="1"/>
    <col min="3331" max="3331" width="18.625" style="43" customWidth="1"/>
    <col min="3332" max="3332" width="9" style="43"/>
    <col min="3333" max="3333" width="12.25" style="43" bestFit="1" customWidth="1"/>
    <col min="3334" max="3584" width="9" style="43"/>
    <col min="3585" max="3585" width="6.875" style="43" customWidth="1"/>
    <col min="3586" max="3586" width="88" style="43" customWidth="1"/>
    <col min="3587" max="3587" width="18.625" style="43" customWidth="1"/>
    <col min="3588" max="3588" width="9" style="43"/>
    <col min="3589" max="3589" width="12.25" style="43" bestFit="1" customWidth="1"/>
    <col min="3590" max="3840" width="9" style="43"/>
    <col min="3841" max="3841" width="6.875" style="43" customWidth="1"/>
    <col min="3842" max="3842" width="88" style="43" customWidth="1"/>
    <col min="3843" max="3843" width="18.625" style="43" customWidth="1"/>
    <col min="3844" max="3844" width="9" style="43"/>
    <col min="3845" max="3845" width="12.25" style="43" bestFit="1" customWidth="1"/>
    <col min="3846" max="4096" width="9" style="43"/>
    <col min="4097" max="4097" width="6.875" style="43" customWidth="1"/>
    <col min="4098" max="4098" width="88" style="43" customWidth="1"/>
    <col min="4099" max="4099" width="18.625" style="43" customWidth="1"/>
    <col min="4100" max="4100" width="9" style="43"/>
    <col min="4101" max="4101" width="12.25" style="43" bestFit="1" customWidth="1"/>
    <col min="4102" max="4352" width="9" style="43"/>
    <col min="4353" max="4353" width="6.875" style="43" customWidth="1"/>
    <col min="4354" max="4354" width="88" style="43" customWidth="1"/>
    <col min="4355" max="4355" width="18.625" style="43" customWidth="1"/>
    <col min="4356" max="4356" width="9" style="43"/>
    <col min="4357" max="4357" width="12.25" style="43" bestFit="1" customWidth="1"/>
    <col min="4358" max="4608" width="9" style="43"/>
    <col min="4609" max="4609" width="6.875" style="43" customWidth="1"/>
    <col min="4610" max="4610" width="88" style="43" customWidth="1"/>
    <col min="4611" max="4611" width="18.625" style="43" customWidth="1"/>
    <col min="4612" max="4612" width="9" style="43"/>
    <col min="4613" max="4613" width="12.25" style="43" bestFit="1" customWidth="1"/>
    <col min="4614" max="4864" width="9" style="43"/>
    <col min="4865" max="4865" width="6.875" style="43" customWidth="1"/>
    <col min="4866" max="4866" width="88" style="43" customWidth="1"/>
    <col min="4867" max="4867" width="18.625" style="43" customWidth="1"/>
    <col min="4868" max="4868" width="9" style="43"/>
    <col min="4869" max="4869" width="12.25" style="43" bestFit="1" customWidth="1"/>
    <col min="4870" max="5120" width="9" style="43"/>
    <col min="5121" max="5121" width="6.875" style="43" customWidth="1"/>
    <col min="5122" max="5122" width="88" style="43" customWidth="1"/>
    <col min="5123" max="5123" width="18.625" style="43" customWidth="1"/>
    <col min="5124" max="5124" width="9" style="43"/>
    <col min="5125" max="5125" width="12.25" style="43" bestFit="1" customWidth="1"/>
    <col min="5126" max="5376" width="9" style="43"/>
    <col min="5377" max="5377" width="6.875" style="43" customWidth="1"/>
    <col min="5378" max="5378" width="88" style="43" customWidth="1"/>
    <col min="5379" max="5379" width="18.625" style="43" customWidth="1"/>
    <col min="5380" max="5380" width="9" style="43"/>
    <col min="5381" max="5381" width="12.25" style="43" bestFit="1" customWidth="1"/>
    <col min="5382" max="5632" width="9" style="43"/>
    <col min="5633" max="5633" width="6.875" style="43" customWidth="1"/>
    <col min="5634" max="5634" width="88" style="43" customWidth="1"/>
    <col min="5635" max="5635" width="18.625" style="43" customWidth="1"/>
    <col min="5636" max="5636" width="9" style="43"/>
    <col min="5637" max="5637" width="12.25" style="43" bestFit="1" customWidth="1"/>
    <col min="5638" max="5888" width="9" style="43"/>
    <col min="5889" max="5889" width="6.875" style="43" customWidth="1"/>
    <col min="5890" max="5890" width="88" style="43" customWidth="1"/>
    <col min="5891" max="5891" width="18.625" style="43" customWidth="1"/>
    <col min="5892" max="5892" width="9" style="43"/>
    <col min="5893" max="5893" width="12.25" style="43" bestFit="1" customWidth="1"/>
    <col min="5894" max="6144" width="9" style="43"/>
    <col min="6145" max="6145" width="6.875" style="43" customWidth="1"/>
    <col min="6146" max="6146" width="88" style="43" customWidth="1"/>
    <col min="6147" max="6147" width="18.625" style="43" customWidth="1"/>
    <col min="6148" max="6148" width="9" style="43"/>
    <col min="6149" max="6149" width="12.25" style="43" bestFit="1" customWidth="1"/>
    <col min="6150" max="6400" width="9" style="43"/>
    <col min="6401" max="6401" width="6.875" style="43" customWidth="1"/>
    <col min="6402" max="6402" width="88" style="43" customWidth="1"/>
    <col min="6403" max="6403" width="18.625" style="43" customWidth="1"/>
    <col min="6404" max="6404" width="9" style="43"/>
    <col min="6405" max="6405" width="12.25" style="43" bestFit="1" customWidth="1"/>
    <col min="6406" max="6656" width="9" style="43"/>
    <col min="6657" max="6657" width="6.875" style="43" customWidth="1"/>
    <col min="6658" max="6658" width="88" style="43" customWidth="1"/>
    <col min="6659" max="6659" width="18.625" style="43" customWidth="1"/>
    <col min="6660" max="6660" width="9" style="43"/>
    <col min="6661" max="6661" width="12.25" style="43" bestFit="1" customWidth="1"/>
    <col min="6662" max="6912" width="9" style="43"/>
    <col min="6913" max="6913" width="6.875" style="43" customWidth="1"/>
    <col min="6914" max="6914" width="88" style="43" customWidth="1"/>
    <col min="6915" max="6915" width="18.625" style="43" customWidth="1"/>
    <col min="6916" max="6916" width="9" style="43"/>
    <col min="6917" max="6917" width="12.25" style="43" bestFit="1" customWidth="1"/>
    <col min="6918" max="7168" width="9" style="43"/>
    <col min="7169" max="7169" width="6.875" style="43" customWidth="1"/>
    <col min="7170" max="7170" width="88" style="43" customWidth="1"/>
    <col min="7171" max="7171" width="18.625" style="43" customWidth="1"/>
    <col min="7172" max="7172" width="9" style="43"/>
    <col min="7173" max="7173" width="12.25" style="43" bestFit="1" customWidth="1"/>
    <col min="7174" max="7424" width="9" style="43"/>
    <col min="7425" max="7425" width="6.875" style="43" customWidth="1"/>
    <col min="7426" max="7426" width="88" style="43" customWidth="1"/>
    <col min="7427" max="7427" width="18.625" style="43" customWidth="1"/>
    <col min="7428" max="7428" width="9" style="43"/>
    <col min="7429" max="7429" width="12.25" style="43" bestFit="1" customWidth="1"/>
    <col min="7430" max="7680" width="9" style="43"/>
    <col min="7681" max="7681" width="6.875" style="43" customWidth="1"/>
    <col min="7682" max="7682" width="88" style="43" customWidth="1"/>
    <col min="7683" max="7683" width="18.625" style="43" customWidth="1"/>
    <col min="7684" max="7684" width="9" style="43"/>
    <col min="7685" max="7685" width="12.25" style="43" bestFit="1" customWidth="1"/>
    <col min="7686" max="7936" width="9" style="43"/>
    <col min="7937" max="7937" width="6.875" style="43" customWidth="1"/>
    <col min="7938" max="7938" width="88" style="43" customWidth="1"/>
    <col min="7939" max="7939" width="18.625" style="43" customWidth="1"/>
    <col min="7940" max="7940" width="9" style="43"/>
    <col min="7941" max="7941" width="12.25" style="43" bestFit="1" customWidth="1"/>
    <col min="7942" max="8192" width="9" style="43"/>
    <col min="8193" max="8193" width="6.875" style="43" customWidth="1"/>
    <col min="8194" max="8194" width="88" style="43" customWidth="1"/>
    <col min="8195" max="8195" width="18.625" style="43" customWidth="1"/>
    <col min="8196" max="8196" width="9" style="43"/>
    <col min="8197" max="8197" width="12.25" style="43" bestFit="1" customWidth="1"/>
    <col min="8198" max="8448" width="9" style="43"/>
    <col min="8449" max="8449" width="6.875" style="43" customWidth="1"/>
    <col min="8450" max="8450" width="88" style="43" customWidth="1"/>
    <col min="8451" max="8451" width="18.625" style="43" customWidth="1"/>
    <col min="8452" max="8452" width="9" style="43"/>
    <col min="8453" max="8453" width="12.25" style="43" bestFit="1" customWidth="1"/>
    <col min="8454" max="8704" width="9" style="43"/>
    <col min="8705" max="8705" width="6.875" style="43" customWidth="1"/>
    <col min="8706" max="8706" width="88" style="43" customWidth="1"/>
    <col min="8707" max="8707" width="18.625" style="43" customWidth="1"/>
    <col min="8708" max="8708" width="9" style="43"/>
    <col min="8709" max="8709" width="12.25" style="43" bestFit="1" customWidth="1"/>
    <col min="8710" max="8960" width="9" style="43"/>
    <col min="8961" max="8961" width="6.875" style="43" customWidth="1"/>
    <col min="8962" max="8962" width="88" style="43" customWidth="1"/>
    <col min="8963" max="8963" width="18.625" style="43" customWidth="1"/>
    <col min="8964" max="8964" width="9" style="43"/>
    <col min="8965" max="8965" width="12.25" style="43" bestFit="1" customWidth="1"/>
    <col min="8966" max="9216" width="9" style="43"/>
    <col min="9217" max="9217" width="6.875" style="43" customWidth="1"/>
    <col min="9218" max="9218" width="88" style="43" customWidth="1"/>
    <col min="9219" max="9219" width="18.625" style="43" customWidth="1"/>
    <col min="9220" max="9220" width="9" style="43"/>
    <col min="9221" max="9221" width="12.25" style="43" bestFit="1" customWidth="1"/>
    <col min="9222" max="9472" width="9" style="43"/>
    <col min="9473" max="9473" width="6.875" style="43" customWidth="1"/>
    <col min="9474" max="9474" width="88" style="43" customWidth="1"/>
    <col min="9475" max="9475" width="18.625" style="43" customWidth="1"/>
    <col min="9476" max="9476" width="9" style="43"/>
    <col min="9477" max="9477" width="12.25" style="43" bestFit="1" customWidth="1"/>
    <col min="9478" max="9728" width="9" style="43"/>
    <col min="9729" max="9729" width="6.875" style="43" customWidth="1"/>
    <col min="9730" max="9730" width="88" style="43" customWidth="1"/>
    <col min="9731" max="9731" width="18.625" style="43" customWidth="1"/>
    <col min="9732" max="9732" width="9" style="43"/>
    <col min="9733" max="9733" width="12.25" style="43" bestFit="1" customWidth="1"/>
    <col min="9734" max="9984" width="9" style="43"/>
    <col min="9985" max="9985" width="6.875" style="43" customWidth="1"/>
    <col min="9986" max="9986" width="88" style="43" customWidth="1"/>
    <col min="9987" max="9987" width="18.625" style="43" customWidth="1"/>
    <col min="9988" max="9988" width="9" style="43"/>
    <col min="9989" max="9989" width="12.25" style="43" bestFit="1" customWidth="1"/>
    <col min="9990" max="10240" width="9" style="43"/>
    <col min="10241" max="10241" width="6.875" style="43" customWidth="1"/>
    <col min="10242" max="10242" width="88" style="43" customWidth="1"/>
    <col min="10243" max="10243" width="18.625" style="43" customWidth="1"/>
    <col min="10244" max="10244" width="9" style="43"/>
    <col min="10245" max="10245" width="12.25" style="43" bestFit="1" customWidth="1"/>
    <col min="10246" max="10496" width="9" style="43"/>
    <col min="10497" max="10497" width="6.875" style="43" customWidth="1"/>
    <col min="10498" max="10498" width="88" style="43" customWidth="1"/>
    <col min="10499" max="10499" width="18.625" style="43" customWidth="1"/>
    <col min="10500" max="10500" width="9" style="43"/>
    <col min="10501" max="10501" width="12.25" style="43" bestFit="1" customWidth="1"/>
    <col min="10502" max="10752" width="9" style="43"/>
    <col min="10753" max="10753" width="6.875" style="43" customWidth="1"/>
    <col min="10754" max="10754" width="88" style="43" customWidth="1"/>
    <col min="10755" max="10755" width="18.625" style="43" customWidth="1"/>
    <col min="10756" max="10756" width="9" style="43"/>
    <col min="10757" max="10757" width="12.25" style="43" bestFit="1" customWidth="1"/>
    <col min="10758" max="11008" width="9" style="43"/>
    <col min="11009" max="11009" width="6.875" style="43" customWidth="1"/>
    <col min="11010" max="11010" width="88" style="43" customWidth="1"/>
    <col min="11011" max="11011" width="18.625" style="43" customWidth="1"/>
    <col min="11012" max="11012" width="9" style="43"/>
    <col min="11013" max="11013" width="12.25" style="43" bestFit="1" customWidth="1"/>
    <col min="11014" max="11264" width="9" style="43"/>
    <col min="11265" max="11265" width="6.875" style="43" customWidth="1"/>
    <col min="11266" max="11266" width="88" style="43" customWidth="1"/>
    <col min="11267" max="11267" width="18.625" style="43" customWidth="1"/>
    <col min="11268" max="11268" width="9" style="43"/>
    <col min="11269" max="11269" width="12.25" style="43" bestFit="1" customWidth="1"/>
    <col min="11270" max="11520" width="9" style="43"/>
    <col min="11521" max="11521" width="6.875" style="43" customWidth="1"/>
    <col min="11522" max="11522" width="88" style="43" customWidth="1"/>
    <col min="11523" max="11523" width="18.625" style="43" customWidth="1"/>
    <col min="11524" max="11524" width="9" style="43"/>
    <col min="11525" max="11525" width="12.25" style="43" bestFit="1" customWidth="1"/>
    <col min="11526" max="11776" width="9" style="43"/>
    <col min="11777" max="11777" width="6.875" style="43" customWidth="1"/>
    <col min="11778" max="11778" width="88" style="43" customWidth="1"/>
    <col min="11779" max="11779" width="18.625" style="43" customWidth="1"/>
    <col min="11780" max="11780" width="9" style="43"/>
    <col min="11781" max="11781" width="12.25" style="43" bestFit="1" customWidth="1"/>
    <col min="11782" max="12032" width="9" style="43"/>
    <col min="12033" max="12033" width="6.875" style="43" customWidth="1"/>
    <col min="12034" max="12034" width="88" style="43" customWidth="1"/>
    <col min="12035" max="12035" width="18.625" style="43" customWidth="1"/>
    <col min="12036" max="12036" width="9" style="43"/>
    <col min="12037" max="12037" width="12.25" style="43" bestFit="1" customWidth="1"/>
    <col min="12038" max="12288" width="9" style="43"/>
    <col min="12289" max="12289" width="6.875" style="43" customWidth="1"/>
    <col min="12290" max="12290" width="88" style="43" customWidth="1"/>
    <col min="12291" max="12291" width="18.625" style="43" customWidth="1"/>
    <col min="12292" max="12292" width="9" style="43"/>
    <col min="12293" max="12293" width="12.25" style="43" bestFit="1" customWidth="1"/>
    <col min="12294" max="12544" width="9" style="43"/>
    <col min="12545" max="12545" width="6.875" style="43" customWidth="1"/>
    <col min="12546" max="12546" width="88" style="43" customWidth="1"/>
    <col min="12547" max="12547" width="18.625" style="43" customWidth="1"/>
    <col min="12548" max="12548" width="9" style="43"/>
    <col min="12549" max="12549" width="12.25" style="43" bestFit="1" customWidth="1"/>
    <col min="12550" max="12800" width="9" style="43"/>
    <col min="12801" max="12801" width="6.875" style="43" customWidth="1"/>
    <col min="12802" max="12802" width="88" style="43" customWidth="1"/>
    <col min="12803" max="12803" width="18.625" style="43" customWidth="1"/>
    <col min="12804" max="12804" width="9" style="43"/>
    <col min="12805" max="12805" width="12.25" style="43" bestFit="1" customWidth="1"/>
    <col min="12806" max="13056" width="9" style="43"/>
    <col min="13057" max="13057" width="6.875" style="43" customWidth="1"/>
    <col min="13058" max="13058" width="88" style="43" customWidth="1"/>
    <col min="13059" max="13059" width="18.625" style="43" customWidth="1"/>
    <col min="13060" max="13060" width="9" style="43"/>
    <col min="13061" max="13061" width="12.25" style="43" bestFit="1" customWidth="1"/>
    <col min="13062" max="13312" width="9" style="43"/>
    <col min="13313" max="13313" width="6.875" style="43" customWidth="1"/>
    <col min="13314" max="13314" width="88" style="43" customWidth="1"/>
    <col min="13315" max="13315" width="18.625" style="43" customWidth="1"/>
    <col min="13316" max="13316" width="9" style="43"/>
    <col min="13317" max="13317" width="12.25" style="43" bestFit="1" customWidth="1"/>
    <col min="13318" max="13568" width="9" style="43"/>
    <col min="13569" max="13569" width="6.875" style="43" customWidth="1"/>
    <col min="13570" max="13570" width="88" style="43" customWidth="1"/>
    <col min="13571" max="13571" width="18.625" style="43" customWidth="1"/>
    <col min="13572" max="13572" width="9" style="43"/>
    <col min="13573" max="13573" width="12.25" style="43" bestFit="1" customWidth="1"/>
    <col min="13574" max="13824" width="9" style="43"/>
    <col min="13825" max="13825" width="6.875" style="43" customWidth="1"/>
    <col min="13826" max="13826" width="88" style="43" customWidth="1"/>
    <col min="13827" max="13827" width="18.625" style="43" customWidth="1"/>
    <col min="13828" max="13828" width="9" style="43"/>
    <col min="13829" max="13829" width="12.25" style="43" bestFit="1" customWidth="1"/>
    <col min="13830" max="14080" width="9" style="43"/>
    <col min="14081" max="14081" width="6.875" style="43" customWidth="1"/>
    <col min="14082" max="14082" width="88" style="43" customWidth="1"/>
    <col min="14083" max="14083" width="18.625" style="43" customWidth="1"/>
    <col min="14084" max="14084" width="9" style="43"/>
    <col min="14085" max="14085" width="12.25" style="43" bestFit="1" customWidth="1"/>
    <col min="14086" max="14336" width="9" style="43"/>
    <col min="14337" max="14337" width="6.875" style="43" customWidth="1"/>
    <col min="14338" max="14338" width="88" style="43" customWidth="1"/>
    <col min="14339" max="14339" width="18.625" style="43" customWidth="1"/>
    <col min="14340" max="14340" width="9" style="43"/>
    <col min="14341" max="14341" width="12.25" style="43" bestFit="1" customWidth="1"/>
    <col min="14342" max="14592" width="9" style="43"/>
    <col min="14593" max="14593" width="6.875" style="43" customWidth="1"/>
    <col min="14594" max="14594" width="88" style="43" customWidth="1"/>
    <col min="14595" max="14595" width="18.625" style="43" customWidth="1"/>
    <col min="14596" max="14596" width="9" style="43"/>
    <col min="14597" max="14597" width="12.25" style="43" bestFit="1" customWidth="1"/>
    <col min="14598" max="14848" width="9" style="43"/>
    <col min="14849" max="14849" width="6.875" style="43" customWidth="1"/>
    <col min="14850" max="14850" width="88" style="43" customWidth="1"/>
    <col min="14851" max="14851" width="18.625" style="43" customWidth="1"/>
    <col min="14852" max="14852" width="9" style="43"/>
    <col min="14853" max="14853" width="12.25" style="43" bestFit="1" customWidth="1"/>
    <col min="14854" max="15104" width="9" style="43"/>
    <col min="15105" max="15105" width="6.875" style="43" customWidth="1"/>
    <col min="15106" max="15106" width="88" style="43" customWidth="1"/>
    <col min="15107" max="15107" width="18.625" style="43" customWidth="1"/>
    <col min="15108" max="15108" width="9" style="43"/>
    <col min="15109" max="15109" width="12.25" style="43" bestFit="1" customWidth="1"/>
    <col min="15110" max="15360" width="9" style="43"/>
    <col min="15361" max="15361" width="6.875" style="43" customWidth="1"/>
    <col min="15362" max="15362" width="88" style="43" customWidth="1"/>
    <col min="15363" max="15363" width="18.625" style="43" customWidth="1"/>
    <col min="15364" max="15364" width="9" style="43"/>
    <col min="15365" max="15365" width="12.25" style="43" bestFit="1" customWidth="1"/>
    <col min="15366" max="15616" width="9" style="43"/>
    <col min="15617" max="15617" width="6.875" style="43" customWidth="1"/>
    <col min="15618" max="15618" width="88" style="43" customWidth="1"/>
    <col min="15619" max="15619" width="18.625" style="43" customWidth="1"/>
    <col min="15620" max="15620" width="9" style="43"/>
    <col min="15621" max="15621" width="12.25" style="43" bestFit="1" customWidth="1"/>
    <col min="15622" max="15872" width="9" style="43"/>
    <col min="15873" max="15873" width="6.875" style="43" customWidth="1"/>
    <col min="15874" max="15874" width="88" style="43" customWidth="1"/>
    <col min="15875" max="15875" width="18.625" style="43" customWidth="1"/>
    <col min="15876" max="15876" width="9" style="43"/>
    <col min="15877" max="15877" width="12.25" style="43" bestFit="1" customWidth="1"/>
    <col min="15878" max="16128" width="9" style="43"/>
    <col min="16129" max="16129" width="6.875" style="43" customWidth="1"/>
    <col min="16130" max="16130" width="88" style="43" customWidth="1"/>
    <col min="16131" max="16131" width="18.625" style="43" customWidth="1"/>
    <col min="16132" max="16132" width="9" style="43"/>
    <col min="16133" max="16133" width="12.25" style="43" bestFit="1" customWidth="1"/>
    <col min="16134" max="16384" width="9" style="43"/>
  </cols>
  <sheetData>
    <row r="1" spans="1:5" ht="23.25" hidden="1" x14ac:dyDescent="0.5">
      <c r="A1" s="823" t="s">
        <v>16</v>
      </c>
      <c r="B1" s="823"/>
      <c r="C1" s="823"/>
    </row>
    <row r="2" spans="1:5" ht="84" hidden="1" customHeight="1" x14ac:dyDescent="0.5">
      <c r="A2" s="44" t="s">
        <v>69</v>
      </c>
      <c r="B2" s="45" t="s">
        <v>70</v>
      </c>
      <c r="C2" s="46"/>
    </row>
    <row r="3" spans="1:5" ht="22.5" thickBot="1" x14ac:dyDescent="0.55000000000000004">
      <c r="A3" s="47"/>
      <c r="B3" s="47"/>
      <c r="C3" s="48"/>
    </row>
    <row r="4" spans="1:5" s="51" customFormat="1" ht="18.75" x14ac:dyDescent="0.3">
      <c r="A4" s="49"/>
      <c r="B4" s="49" t="s">
        <v>17</v>
      </c>
      <c r="C4" s="50" t="s">
        <v>18</v>
      </c>
      <c r="E4" s="52"/>
    </row>
    <row r="5" spans="1:5" ht="41.25" thickBot="1" x14ac:dyDescent="0.55000000000000004">
      <c r="A5" s="53"/>
      <c r="B5" s="54" t="s">
        <v>71</v>
      </c>
      <c r="C5" s="55" t="s">
        <v>19</v>
      </c>
    </row>
    <row r="6" spans="1:5" s="59" customFormat="1" ht="24" customHeight="1" thickBot="1" x14ac:dyDescent="0.25">
      <c r="A6" s="56">
        <v>1</v>
      </c>
      <c r="B6" s="57" t="s">
        <v>72</v>
      </c>
      <c r="C6" s="58">
        <f>SUM(C7:C12)</f>
        <v>2835000</v>
      </c>
    </row>
    <row r="7" spans="1:5" x14ac:dyDescent="0.5">
      <c r="A7" s="60"/>
      <c r="B7" s="61" t="s">
        <v>73</v>
      </c>
      <c r="C7" s="62">
        <v>510000</v>
      </c>
    </row>
    <row r="8" spans="1:5" x14ac:dyDescent="0.5">
      <c r="A8" s="60"/>
      <c r="B8" s="63" t="s">
        <v>74</v>
      </c>
      <c r="C8" s="64">
        <v>560000</v>
      </c>
    </row>
    <row r="9" spans="1:5" x14ac:dyDescent="0.5">
      <c r="A9" s="60"/>
      <c r="B9" s="65" t="s">
        <v>75</v>
      </c>
      <c r="C9" s="64">
        <v>560000</v>
      </c>
      <c r="D9" s="66"/>
    </row>
    <row r="10" spans="1:5" x14ac:dyDescent="0.5">
      <c r="A10" s="60"/>
      <c r="B10" s="65" t="s">
        <v>76</v>
      </c>
      <c r="C10" s="64">
        <v>495000</v>
      </c>
      <c r="D10" s="66"/>
    </row>
    <row r="11" spans="1:5" x14ac:dyDescent="0.5">
      <c r="A11" s="60"/>
      <c r="B11" s="65" t="s">
        <v>77</v>
      </c>
      <c r="C11" s="64">
        <v>440000</v>
      </c>
    </row>
    <row r="12" spans="1:5" ht="22.5" thickBot="1" x14ac:dyDescent="0.55000000000000004">
      <c r="A12" s="60"/>
      <c r="B12" s="65" t="s">
        <v>78</v>
      </c>
      <c r="C12" s="67">
        <v>270000</v>
      </c>
    </row>
    <row r="13" spans="1:5" s="70" customFormat="1" ht="26.25" customHeight="1" thickBot="1" x14ac:dyDescent="0.45">
      <c r="A13" s="56">
        <v>2</v>
      </c>
      <c r="B13" s="68" t="s">
        <v>79</v>
      </c>
      <c r="C13" s="69">
        <f>SUM(C14)</f>
        <v>135000</v>
      </c>
    </row>
    <row r="14" spans="1:5" s="74" customFormat="1" ht="26.25" customHeight="1" thickBot="1" x14ac:dyDescent="0.25">
      <c r="A14" s="71"/>
      <c r="B14" s="72" t="s">
        <v>80</v>
      </c>
      <c r="C14" s="73">
        <v>135000</v>
      </c>
    </row>
    <row r="15" spans="1:5" s="74" customFormat="1" ht="26.25" customHeight="1" thickBot="1" x14ac:dyDescent="0.25">
      <c r="A15" s="56">
        <v>3</v>
      </c>
      <c r="B15" s="68" t="s">
        <v>81</v>
      </c>
      <c r="C15" s="75">
        <f>SUM(C16,C20,C25,C31,C40,C46,C55,C61,C70,C75,C80,C85,C90,C92,C94,C101,C111,C116,C120)</f>
        <v>17626240</v>
      </c>
      <c r="D15" s="76"/>
    </row>
    <row r="16" spans="1:5" s="74" customFormat="1" ht="26.25" customHeight="1" thickBot="1" x14ac:dyDescent="0.25">
      <c r="A16" s="71">
        <v>3.1</v>
      </c>
      <c r="B16" s="77" t="s">
        <v>82</v>
      </c>
      <c r="C16" s="78">
        <f>SUM(C17:C19)</f>
        <v>134540</v>
      </c>
    </row>
    <row r="17" spans="1:4" s="82" customFormat="1" ht="23.25" customHeight="1" x14ac:dyDescent="0.2">
      <c r="A17" s="79"/>
      <c r="B17" s="80" t="s">
        <v>83</v>
      </c>
      <c r="C17" s="81">
        <v>62000</v>
      </c>
    </row>
    <row r="18" spans="1:4" s="82" customFormat="1" ht="23.25" customHeight="1" x14ac:dyDescent="0.2">
      <c r="A18" s="79"/>
      <c r="B18" s="83" t="s">
        <v>84</v>
      </c>
      <c r="C18" s="84">
        <v>62000</v>
      </c>
    </row>
    <row r="19" spans="1:4" s="82" customFormat="1" ht="23.25" customHeight="1" thickBot="1" x14ac:dyDescent="0.25">
      <c r="A19" s="79"/>
      <c r="B19" s="83" t="s">
        <v>85</v>
      </c>
      <c r="C19" s="84">
        <v>10540</v>
      </c>
    </row>
    <row r="20" spans="1:4" s="82" customFormat="1" ht="23.25" customHeight="1" thickBot="1" x14ac:dyDescent="0.35">
      <c r="A20" s="71">
        <v>3.2</v>
      </c>
      <c r="B20" s="85" t="s">
        <v>86</v>
      </c>
      <c r="C20" s="86">
        <f>SUM(C21:C24)</f>
        <v>540400</v>
      </c>
    </row>
    <row r="21" spans="1:4" s="82" customFormat="1" ht="23.25" customHeight="1" x14ac:dyDescent="0.2">
      <c r="A21" s="79"/>
      <c r="B21" s="80" t="s">
        <v>87</v>
      </c>
      <c r="C21" s="84">
        <v>125000</v>
      </c>
    </row>
    <row r="22" spans="1:4" s="82" customFormat="1" ht="23.25" customHeight="1" x14ac:dyDescent="0.2">
      <c r="A22" s="79"/>
      <c r="B22" s="83" t="s">
        <v>88</v>
      </c>
      <c r="C22" s="84">
        <v>62000</v>
      </c>
    </row>
    <row r="23" spans="1:4" s="82" customFormat="1" ht="23.25" customHeight="1" x14ac:dyDescent="0.2">
      <c r="A23" s="79"/>
      <c r="B23" s="83" t="s">
        <v>89</v>
      </c>
      <c r="C23" s="87">
        <v>310000</v>
      </c>
    </row>
    <row r="24" spans="1:4" s="82" customFormat="1" ht="23.25" customHeight="1" thickBot="1" x14ac:dyDescent="0.55000000000000004">
      <c r="A24" s="79"/>
      <c r="B24" s="83" t="s">
        <v>90</v>
      </c>
      <c r="C24" s="88">
        <v>43400</v>
      </c>
    </row>
    <row r="25" spans="1:4" s="89" customFormat="1" ht="23.25" customHeight="1" thickBot="1" x14ac:dyDescent="0.35">
      <c r="A25" s="71">
        <v>3.3</v>
      </c>
      <c r="B25" s="85" t="s">
        <v>91</v>
      </c>
      <c r="C25" s="86">
        <f>SUM(C26:C30)</f>
        <v>567000</v>
      </c>
    </row>
    <row r="26" spans="1:4" s="82" customFormat="1" ht="23.25" customHeight="1" x14ac:dyDescent="0.5">
      <c r="A26" s="79"/>
      <c r="B26" s="90" t="s">
        <v>92</v>
      </c>
      <c r="C26" s="91">
        <v>40000</v>
      </c>
    </row>
    <row r="27" spans="1:4" s="82" customFormat="1" ht="23.25" customHeight="1" x14ac:dyDescent="0.5">
      <c r="A27" s="79"/>
      <c r="B27" s="80" t="s">
        <v>93</v>
      </c>
      <c r="C27" s="88">
        <v>168000</v>
      </c>
    </row>
    <row r="28" spans="1:4" s="82" customFormat="1" ht="23.25" customHeight="1" x14ac:dyDescent="0.2">
      <c r="A28" s="79"/>
      <c r="B28" s="92" t="s">
        <v>94</v>
      </c>
      <c r="C28" s="93">
        <v>270000</v>
      </c>
    </row>
    <row r="29" spans="1:4" s="82" customFormat="1" ht="23.25" customHeight="1" x14ac:dyDescent="0.2">
      <c r="A29" s="79"/>
      <c r="B29" s="94" t="s">
        <v>95</v>
      </c>
      <c r="C29" s="87">
        <v>54000</v>
      </c>
    </row>
    <row r="30" spans="1:4" s="82" customFormat="1" ht="23.25" customHeight="1" thickBot="1" x14ac:dyDescent="0.25">
      <c r="A30" s="79"/>
      <c r="B30" s="95" t="s">
        <v>96</v>
      </c>
      <c r="C30" s="87">
        <v>35000</v>
      </c>
    </row>
    <row r="31" spans="1:4" s="70" customFormat="1" ht="21" thickBot="1" x14ac:dyDescent="0.45">
      <c r="A31" s="96">
        <v>3.4</v>
      </c>
      <c r="B31" s="85" t="s">
        <v>97</v>
      </c>
      <c r="C31" s="97">
        <f>SUM(C32:C39)</f>
        <v>4173050</v>
      </c>
      <c r="D31" s="98"/>
    </row>
    <row r="32" spans="1:4" s="70" customFormat="1" ht="18.75" customHeight="1" x14ac:dyDescent="0.5">
      <c r="A32" s="99"/>
      <c r="B32" s="100" t="s">
        <v>98</v>
      </c>
      <c r="C32" s="101">
        <v>76000</v>
      </c>
    </row>
    <row r="33" spans="1:3" s="70" customFormat="1" ht="18.75" customHeight="1" x14ac:dyDescent="0.5">
      <c r="A33" s="102"/>
      <c r="B33" s="103" t="s">
        <v>99</v>
      </c>
      <c r="C33" s="88">
        <v>950000</v>
      </c>
    </row>
    <row r="34" spans="1:3" s="70" customFormat="1" ht="18.75" customHeight="1" x14ac:dyDescent="0.5">
      <c r="A34" s="102"/>
      <c r="B34" s="104" t="s">
        <v>100</v>
      </c>
      <c r="C34" s="87">
        <v>182400</v>
      </c>
    </row>
    <row r="35" spans="1:3" s="70" customFormat="1" x14ac:dyDescent="0.5">
      <c r="A35" s="102"/>
      <c r="B35" s="80" t="s">
        <v>101</v>
      </c>
      <c r="C35" s="88">
        <v>152000</v>
      </c>
    </row>
    <row r="36" spans="1:3" s="70" customFormat="1" x14ac:dyDescent="0.4">
      <c r="B36" s="80" t="s">
        <v>102</v>
      </c>
      <c r="C36" s="87">
        <v>450000</v>
      </c>
    </row>
    <row r="37" spans="1:3" s="70" customFormat="1" x14ac:dyDescent="0.5">
      <c r="B37" s="105" t="s">
        <v>103</v>
      </c>
      <c r="C37" s="88">
        <v>456000</v>
      </c>
    </row>
    <row r="38" spans="1:3" s="70" customFormat="1" x14ac:dyDescent="0.4">
      <c r="B38" s="80" t="s">
        <v>104</v>
      </c>
      <c r="C38" s="87">
        <v>6650</v>
      </c>
    </row>
    <row r="39" spans="1:3" s="70" customFormat="1" ht="22.5" thickBot="1" x14ac:dyDescent="0.45">
      <c r="B39" s="106" t="s">
        <v>105</v>
      </c>
      <c r="C39" s="87">
        <v>1900000</v>
      </c>
    </row>
    <row r="40" spans="1:3" ht="22.5" thickBot="1" x14ac:dyDescent="0.55000000000000004">
      <c r="A40" s="96">
        <v>3.5</v>
      </c>
      <c r="B40" s="85" t="s">
        <v>106</v>
      </c>
      <c r="C40" s="97">
        <f>SUM(C41:C45)</f>
        <v>665750</v>
      </c>
    </row>
    <row r="41" spans="1:3" x14ac:dyDescent="0.5">
      <c r="B41" s="90" t="s">
        <v>107</v>
      </c>
      <c r="C41" s="87">
        <v>250000</v>
      </c>
    </row>
    <row r="42" spans="1:3" x14ac:dyDescent="0.5">
      <c r="B42" s="80" t="s">
        <v>108</v>
      </c>
      <c r="C42" s="88">
        <v>24000</v>
      </c>
    </row>
    <row r="43" spans="1:3" x14ac:dyDescent="0.5">
      <c r="B43" s="107" t="s">
        <v>109</v>
      </c>
      <c r="C43" s="87">
        <v>240000</v>
      </c>
    </row>
    <row r="44" spans="1:3" x14ac:dyDescent="0.5">
      <c r="B44" s="108" t="s">
        <v>110</v>
      </c>
      <c r="C44" s="87">
        <v>150000</v>
      </c>
    </row>
    <row r="45" spans="1:3" ht="22.5" thickBot="1" x14ac:dyDescent="0.55000000000000004">
      <c r="B45" s="80" t="s">
        <v>111</v>
      </c>
      <c r="C45" s="87">
        <v>1750</v>
      </c>
    </row>
    <row r="46" spans="1:3" ht="22.5" thickBot="1" x14ac:dyDescent="0.55000000000000004">
      <c r="A46" s="96">
        <v>3.6</v>
      </c>
      <c r="B46" s="85" t="s">
        <v>112</v>
      </c>
      <c r="C46" s="109">
        <f>SUM(C47:C54)</f>
        <v>4142000</v>
      </c>
    </row>
    <row r="47" spans="1:3" x14ac:dyDescent="0.5">
      <c r="B47" s="107" t="s">
        <v>113</v>
      </c>
      <c r="C47" s="87">
        <v>160000</v>
      </c>
    </row>
    <row r="48" spans="1:3" x14ac:dyDescent="0.5">
      <c r="B48" s="108" t="s">
        <v>114</v>
      </c>
      <c r="C48" s="87">
        <v>1000000</v>
      </c>
    </row>
    <row r="49" spans="1:3" x14ac:dyDescent="0.5">
      <c r="B49" s="80" t="s">
        <v>115</v>
      </c>
      <c r="C49" s="87">
        <v>384000</v>
      </c>
    </row>
    <row r="50" spans="1:3" x14ac:dyDescent="0.5">
      <c r="B50" s="80" t="s">
        <v>116</v>
      </c>
      <c r="C50" s="87">
        <v>640000</v>
      </c>
    </row>
    <row r="51" spans="1:3" x14ac:dyDescent="0.5">
      <c r="B51" s="80" t="s">
        <v>117</v>
      </c>
      <c r="C51" s="87">
        <v>450000</v>
      </c>
    </row>
    <row r="52" spans="1:3" x14ac:dyDescent="0.5">
      <c r="B52" s="80" t="s">
        <v>118</v>
      </c>
      <c r="C52" s="87">
        <v>480000</v>
      </c>
    </row>
    <row r="53" spans="1:3" x14ac:dyDescent="0.5">
      <c r="B53" s="110" t="s">
        <v>119</v>
      </c>
      <c r="C53" s="87">
        <v>1000000</v>
      </c>
    </row>
    <row r="54" spans="1:3" ht="22.5" thickBot="1" x14ac:dyDescent="0.55000000000000004">
      <c r="B54" s="90" t="s">
        <v>120</v>
      </c>
      <c r="C54" s="87">
        <v>28000</v>
      </c>
    </row>
    <row r="55" spans="1:3" ht="38.25" thickBot="1" x14ac:dyDescent="0.55000000000000004">
      <c r="A55" s="96">
        <v>3.7</v>
      </c>
      <c r="B55" s="111" t="s">
        <v>121</v>
      </c>
      <c r="C55" s="109">
        <f>SUM(C56:C60)</f>
        <v>695000</v>
      </c>
    </row>
    <row r="56" spans="1:3" x14ac:dyDescent="0.5">
      <c r="B56" s="90" t="s">
        <v>122</v>
      </c>
      <c r="C56" s="87">
        <v>250000</v>
      </c>
    </row>
    <row r="57" spans="1:3" x14ac:dyDescent="0.5">
      <c r="B57" s="90" t="s">
        <v>123</v>
      </c>
      <c r="C57" s="87">
        <v>48000</v>
      </c>
    </row>
    <row r="58" spans="1:3" x14ac:dyDescent="0.5">
      <c r="B58" s="107" t="s">
        <v>124</v>
      </c>
      <c r="C58" s="87">
        <v>240000</v>
      </c>
    </row>
    <row r="59" spans="1:3" x14ac:dyDescent="0.5">
      <c r="B59" s="108" t="s">
        <v>125</v>
      </c>
      <c r="C59" s="87">
        <v>150000</v>
      </c>
    </row>
    <row r="60" spans="1:3" ht="22.5" thickBot="1" x14ac:dyDescent="0.55000000000000004">
      <c r="B60" s="80" t="s">
        <v>126</v>
      </c>
      <c r="C60" s="112">
        <v>7000</v>
      </c>
    </row>
    <row r="61" spans="1:3" ht="22.5" thickBot="1" x14ac:dyDescent="0.55000000000000004">
      <c r="A61" s="96">
        <v>3.8</v>
      </c>
      <c r="B61" s="113" t="s">
        <v>127</v>
      </c>
      <c r="C61" s="114">
        <f>SUM(C62:C69)</f>
        <v>3409050</v>
      </c>
    </row>
    <row r="62" spans="1:3" x14ac:dyDescent="0.5">
      <c r="B62" s="80" t="s">
        <v>128</v>
      </c>
      <c r="C62" s="88">
        <v>76000</v>
      </c>
    </row>
    <row r="63" spans="1:3" x14ac:dyDescent="0.5">
      <c r="B63" s="108" t="s">
        <v>129</v>
      </c>
      <c r="C63" s="88">
        <v>950000</v>
      </c>
    </row>
    <row r="64" spans="1:3" x14ac:dyDescent="0.5">
      <c r="B64" s="80" t="s">
        <v>130</v>
      </c>
      <c r="C64" s="88">
        <v>182400</v>
      </c>
    </row>
    <row r="65" spans="1:3" x14ac:dyDescent="0.5">
      <c r="B65" s="105" t="s">
        <v>131</v>
      </c>
      <c r="C65" s="88">
        <v>608000</v>
      </c>
    </row>
    <row r="66" spans="1:3" x14ac:dyDescent="0.5">
      <c r="B66" s="105" t="s">
        <v>132</v>
      </c>
      <c r="C66" s="88">
        <v>450000</v>
      </c>
    </row>
    <row r="67" spans="1:3" x14ac:dyDescent="0.5">
      <c r="B67" s="108" t="s">
        <v>133</v>
      </c>
      <c r="C67" s="88">
        <v>456000</v>
      </c>
    </row>
    <row r="68" spans="1:3" x14ac:dyDescent="0.5">
      <c r="B68" s="83" t="s">
        <v>134</v>
      </c>
      <c r="C68" s="88">
        <v>680000</v>
      </c>
    </row>
    <row r="69" spans="1:3" ht="22.5" thickBot="1" x14ac:dyDescent="0.55000000000000004">
      <c r="B69" s="83" t="s">
        <v>135</v>
      </c>
      <c r="C69" s="115">
        <v>6650</v>
      </c>
    </row>
    <row r="70" spans="1:3" ht="22.5" thickBot="1" x14ac:dyDescent="0.55000000000000004">
      <c r="A70" s="96">
        <v>3.9</v>
      </c>
      <c r="B70" s="113" t="s">
        <v>136</v>
      </c>
      <c r="C70" s="114">
        <f>SUM(C71:C74)</f>
        <v>198750</v>
      </c>
    </row>
    <row r="71" spans="1:3" x14ac:dyDescent="0.5">
      <c r="B71" s="116" t="s">
        <v>137</v>
      </c>
      <c r="C71" s="88">
        <v>125000</v>
      </c>
    </row>
    <row r="72" spans="1:3" x14ac:dyDescent="0.5">
      <c r="B72" s="105" t="s">
        <v>138</v>
      </c>
      <c r="C72" s="88">
        <v>12000</v>
      </c>
    </row>
    <row r="73" spans="1:3" x14ac:dyDescent="0.5">
      <c r="B73" s="105" t="s">
        <v>139</v>
      </c>
      <c r="C73" s="88">
        <v>60000</v>
      </c>
    </row>
    <row r="74" spans="1:3" ht="22.5" thickBot="1" x14ac:dyDescent="0.55000000000000004">
      <c r="B74" s="105" t="s">
        <v>140</v>
      </c>
      <c r="C74" s="88">
        <v>1750</v>
      </c>
    </row>
    <row r="75" spans="1:3" ht="42" customHeight="1" thickBot="1" x14ac:dyDescent="0.55000000000000004">
      <c r="A75" s="117" t="s">
        <v>141</v>
      </c>
      <c r="B75" s="111" t="s">
        <v>142</v>
      </c>
      <c r="C75" s="109">
        <f>SUM(C76:C79)</f>
        <v>24200</v>
      </c>
    </row>
    <row r="76" spans="1:3" x14ac:dyDescent="0.5">
      <c r="B76" s="107" t="s">
        <v>143</v>
      </c>
      <c r="C76" s="87">
        <v>5000</v>
      </c>
    </row>
    <row r="77" spans="1:3" x14ac:dyDescent="0.5">
      <c r="B77" s="108" t="s">
        <v>144</v>
      </c>
      <c r="C77" s="87">
        <v>2100</v>
      </c>
    </row>
    <row r="78" spans="1:3" x14ac:dyDescent="0.5">
      <c r="B78" s="80" t="s">
        <v>145</v>
      </c>
      <c r="C78" s="87">
        <v>15000</v>
      </c>
    </row>
    <row r="79" spans="1:3" ht="22.5" thickBot="1" x14ac:dyDescent="0.55000000000000004">
      <c r="B79" s="80" t="s">
        <v>146</v>
      </c>
      <c r="C79" s="87">
        <v>2100</v>
      </c>
    </row>
    <row r="80" spans="1:3" ht="39" customHeight="1" thickBot="1" x14ac:dyDescent="0.55000000000000004">
      <c r="A80" s="117" t="s">
        <v>147</v>
      </c>
      <c r="B80" s="111" t="s">
        <v>148</v>
      </c>
      <c r="C80" s="109">
        <f>SUM(C81:C84)</f>
        <v>24200</v>
      </c>
    </row>
    <row r="81" spans="1:7" x14ac:dyDescent="0.5">
      <c r="B81" s="107" t="s">
        <v>143</v>
      </c>
      <c r="C81" s="87">
        <v>5000</v>
      </c>
    </row>
    <row r="82" spans="1:7" x14ac:dyDescent="0.5">
      <c r="B82" s="108" t="s">
        <v>144</v>
      </c>
      <c r="C82" s="87">
        <v>2100</v>
      </c>
    </row>
    <row r="83" spans="1:7" x14ac:dyDescent="0.5">
      <c r="B83" s="80" t="s">
        <v>145</v>
      </c>
      <c r="C83" s="87">
        <v>15000</v>
      </c>
      <c r="G83" s="118"/>
    </row>
    <row r="84" spans="1:7" ht="22.5" thickBot="1" x14ac:dyDescent="0.55000000000000004">
      <c r="B84" s="80" t="s">
        <v>146</v>
      </c>
      <c r="C84" s="87">
        <v>2100</v>
      </c>
    </row>
    <row r="85" spans="1:7" ht="38.25" thickBot="1" x14ac:dyDescent="0.55000000000000004">
      <c r="A85" s="117" t="s">
        <v>149</v>
      </c>
      <c r="B85" s="111" t="s">
        <v>150</v>
      </c>
      <c r="C85" s="109">
        <f>SUM(C86:C89)</f>
        <v>217800</v>
      </c>
    </row>
    <row r="86" spans="1:7" x14ac:dyDescent="0.5">
      <c r="B86" s="107" t="s">
        <v>151</v>
      </c>
      <c r="C86" s="87">
        <v>45000</v>
      </c>
    </row>
    <row r="87" spans="1:7" x14ac:dyDescent="0.5">
      <c r="B87" s="108" t="s">
        <v>152</v>
      </c>
      <c r="C87" s="87">
        <v>18900</v>
      </c>
    </row>
    <row r="88" spans="1:7" x14ac:dyDescent="0.5">
      <c r="B88" s="80" t="s">
        <v>153</v>
      </c>
      <c r="C88" s="87">
        <v>135000</v>
      </c>
    </row>
    <row r="89" spans="1:7" ht="22.5" thickBot="1" x14ac:dyDescent="0.55000000000000004">
      <c r="B89" s="80" t="s">
        <v>154</v>
      </c>
      <c r="C89" s="112">
        <v>18900</v>
      </c>
    </row>
    <row r="90" spans="1:7" ht="38.25" thickBot="1" x14ac:dyDescent="0.55000000000000004">
      <c r="A90" s="119">
        <v>3.13</v>
      </c>
      <c r="B90" s="120" t="s">
        <v>155</v>
      </c>
      <c r="C90" s="114">
        <f>SUM(C91)</f>
        <v>30000</v>
      </c>
    </row>
    <row r="91" spans="1:7" ht="22.5" thickBot="1" x14ac:dyDescent="0.55000000000000004">
      <c r="A91" s="99"/>
      <c r="B91" s="121" t="s">
        <v>156</v>
      </c>
      <c r="C91" s="122">
        <v>30000</v>
      </c>
    </row>
    <row r="92" spans="1:7" ht="22.5" thickBot="1" x14ac:dyDescent="0.55000000000000004">
      <c r="A92" s="119">
        <v>3.14</v>
      </c>
      <c r="B92" s="120" t="s">
        <v>157</v>
      </c>
      <c r="C92" s="114">
        <f>SUM(C93)</f>
        <v>5000</v>
      </c>
    </row>
    <row r="93" spans="1:7" ht="22.5" thickBot="1" x14ac:dyDescent="0.55000000000000004">
      <c r="A93" s="123"/>
      <c r="B93" s="124" t="s">
        <v>158</v>
      </c>
      <c r="C93" s="125">
        <v>5000</v>
      </c>
    </row>
    <row r="94" spans="1:7" ht="38.25" thickBot="1" x14ac:dyDescent="0.55000000000000004">
      <c r="A94" s="126">
        <v>3.15</v>
      </c>
      <c r="B94" s="127" t="s">
        <v>159</v>
      </c>
      <c r="C94" s="128">
        <f>SUM(C95:C100)</f>
        <v>930500</v>
      </c>
    </row>
    <row r="95" spans="1:7" x14ac:dyDescent="0.5">
      <c r="A95" s="129"/>
      <c r="B95" s="107" t="s">
        <v>160</v>
      </c>
      <c r="C95" s="130">
        <v>150000</v>
      </c>
    </row>
    <row r="96" spans="1:7" x14ac:dyDescent="0.5">
      <c r="B96" s="108" t="s">
        <v>161</v>
      </c>
      <c r="C96" s="88">
        <v>25000</v>
      </c>
    </row>
    <row r="97" spans="1:3" x14ac:dyDescent="0.5">
      <c r="B97" s="80" t="s">
        <v>162</v>
      </c>
      <c r="C97" s="131">
        <v>36000</v>
      </c>
    </row>
    <row r="98" spans="1:3" x14ac:dyDescent="0.5">
      <c r="B98" s="80" t="s">
        <v>163</v>
      </c>
      <c r="C98" s="131">
        <v>37500</v>
      </c>
    </row>
    <row r="99" spans="1:3" x14ac:dyDescent="0.5">
      <c r="B99" s="116" t="s">
        <v>164</v>
      </c>
      <c r="C99" s="131">
        <v>620000</v>
      </c>
    </row>
    <row r="100" spans="1:3" ht="22.5" thickBot="1" x14ac:dyDescent="0.55000000000000004">
      <c r="B100" s="121" t="s">
        <v>165</v>
      </c>
      <c r="C100" s="122">
        <v>62000</v>
      </c>
    </row>
    <row r="101" spans="1:3" ht="57" thickBot="1" x14ac:dyDescent="0.55000000000000004">
      <c r="A101" s="132">
        <v>3.16</v>
      </c>
      <c r="B101" s="133" t="s">
        <v>166</v>
      </c>
      <c r="C101" s="134">
        <f>SUM(C102:C110)</f>
        <v>1817500</v>
      </c>
    </row>
    <row r="102" spans="1:3" x14ac:dyDescent="0.5">
      <c r="B102" s="135" t="s">
        <v>167</v>
      </c>
      <c r="C102" s="122">
        <v>504000</v>
      </c>
    </row>
    <row r="103" spans="1:3" x14ac:dyDescent="0.5">
      <c r="B103" s="136" t="s">
        <v>168</v>
      </c>
      <c r="C103" s="122">
        <v>52500</v>
      </c>
    </row>
    <row r="104" spans="1:3" x14ac:dyDescent="0.5">
      <c r="B104" s="137" t="s">
        <v>169</v>
      </c>
      <c r="C104" s="122">
        <v>150000</v>
      </c>
    </row>
    <row r="105" spans="1:3" x14ac:dyDescent="0.5">
      <c r="B105" s="138" t="s">
        <v>170</v>
      </c>
      <c r="C105" s="122">
        <v>150000</v>
      </c>
    </row>
    <row r="106" spans="1:3" x14ac:dyDescent="0.5">
      <c r="B106" s="138" t="s">
        <v>171</v>
      </c>
      <c r="C106" s="122">
        <v>750000</v>
      </c>
    </row>
    <row r="107" spans="1:3" x14ac:dyDescent="0.5">
      <c r="B107" s="137" t="s">
        <v>172</v>
      </c>
      <c r="C107" s="122">
        <v>36000</v>
      </c>
    </row>
    <row r="108" spans="1:3" x14ac:dyDescent="0.5">
      <c r="B108" s="137" t="s">
        <v>173</v>
      </c>
      <c r="C108" s="122">
        <v>60000</v>
      </c>
    </row>
    <row r="109" spans="1:3" x14ac:dyDescent="0.5">
      <c r="B109" s="137" t="s">
        <v>174</v>
      </c>
      <c r="C109" s="122">
        <v>40000</v>
      </c>
    </row>
    <row r="110" spans="1:3" ht="22.5" thickBot="1" x14ac:dyDescent="0.55000000000000004">
      <c r="B110" s="139" t="s">
        <v>175</v>
      </c>
      <c r="C110" s="122">
        <v>75000</v>
      </c>
    </row>
    <row r="111" spans="1:3" ht="22.5" thickBot="1" x14ac:dyDescent="0.55000000000000004">
      <c r="A111" s="117" t="s">
        <v>176</v>
      </c>
      <c r="B111" s="111" t="s">
        <v>177</v>
      </c>
      <c r="C111" s="109">
        <f>SUM(C112:C115)</f>
        <v>29000</v>
      </c>
    </row>
    <row r="112" spans="1:3" x14ac:dyDescent="0.5">
      <c r="B112" s="107" t="s">
        <v>178</v>
      </c>
      <c r="C112" s="87">
        <v>5000</v>
      </c>
    </row>
    <row r="113" spans="1:3" x14ac:dyDescent="0.5">
      <c r="B113" s="108" t="s">
        <v>179</v>
      </c>
      <c r="C113" s="87">
        <v>8000</v>
      </c>
    </row>
    <row r="114" spans="1:3" x14ac:dyDescent="0.5">
      <c r="B114" s="80" t="s">
        <v>180</v>
      </c>
      <c r="C114" s="87">
        <v>8000</v>
      </c>
    </row>
    <row r="115" spans="1:3" ht="22.5" thickBot="1" x14ac:dyDescent="0.55000000000000004">
      <c r="B115" s="80" t="s">
        <v>181</v>
      </c>
      <c r="C115" s="87">
        <v>8000</v>
      </c>
    </row>
    <row r="116" spans="1:3" ht="22.5" thickBot="1" x14ac:dyDescent="0.55000000000000004">
      <c r="A116" s="117" t="s">
        <v>182</v>
      </c>
      <c r="B116" s="111" t="s">
        <v>183</v>
      </c>
      <c r="C116" s="109">
        <f>SUM(C117:C119)</f>
        <v>18000</v>
      </c>
    </row>
    <row r="117" spans="1:3" x14ac:dyDescent="0.5">
      <c r="B117" s="107" t="s">
        <v>184</v>
      </c>
      <c r="C117" s="87">
        <v>8000</v>
      </c>
    </row>
    <row r="118" spans="1:3" x14ac:dyDescent="0.5">
      <c r="B118" s="108" t="s">
        <v>185</v>
      </c>
      <c r="C118" s="87">
        <v>5000</v>
      </c>
    </row>
    <row r="119" spans="1:3" ht="22.5" thickBot="1" x14ac:dyDescent="0.55000000000000004">
      <c r="B119" s="106" t="s">
        <v>186</v>
      </c>
      <c r="C119" s="112">
        <v>5000</v>
      </c>
    </row>
    <row r="120" spans="1:3" ht="22.5" thickBot="1" x14ac:dyDescent="0.55000000000000004">
      <c r="A120" s="140">
        <v>3.19</v>
      </c>
      <c r="B120" s="141" t="s">
        <v>187</v>
      </c>
      <c r="C120" s="142">
        <v>4500</v>
      </c>
    </row>
    <row r="121" spans="1:3" ht="24.75" thickBot="1" x14ac:dyDescent="0.6">
      <c r="A121" s="143"/>
      <c r="B121" s="144" t="s">
        <v>2</v>
      </c>
      <c r="C121" s="145">
        <f>C6+C13+C15</f>
        <v>20596240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2"/>
  <sheetViews>
    <sheetView workbookViewId="0">
      <selection activeCell="B24" sqref="B24"/>
    </sheetView>
  </sheetViews>
  <sheetFormatPr defaultColWidth="9" defaultRowHeight="21.75" x14ac:dyDescent="0.5"/>
  <cols>
    <col min="1" max="1" width="6.875" style="51" customWidth="1"/>
    <col min="2" max="2" width="132" style="43" customWidth="1"/>
    <col min="3" max="3" width="14.875" style="146" customWidth="1"/>
    <col min="4" max="4" width="9" style="43"/>
    <col min="5" max="5" width="12.25" style="43" bestFit="1" customWidth="1"/>
    <col min="6" max="256" width="9" style="43"/>
    <col min="257" max="257" width="5.375" style="43" customWidth="1"/>
    <col min="258" max="258" width="88" style="43" customWidth="1"/>
    <col min="259" max="259" width="14.875" style="43" customWidth="1"/>
    <col min="260" max="260" width="9" style="43"/>
    <col min="261" max="261" width="12.25" style="43" bestFit="1" customWidth="1"/>
    <col min="262" max="512" width="9" style="43"/>
    <col min="513" max="513" width="5.375" style="43" customWidth="1"/>
    <col min="514" max="514" width="88" style="43" customWidth="1"/>
    <col min="515" max="515" width="14.875" style="43" customWidth="1"/>
    <col min="516" max="516" width="9" style="43"/>
    <col min="517" max="517" width="12.25" style="43" bestFit="1" customWidth="1"/>
    <col min="518" max="768" width="9" style="43"/>
    <col min="769" max="769" width="5.375" style="43" customWidth="1"/>
    <col min="770" max="770" width="88" style="43" customWidth="1"/>
    <col min="771" max="771" width="14.875" style="43" customWidth="1"/>
    <col min="772" max="772" width="9" style="43"/>
    <col min="773" max="773" width="12.25" style="43" bestFit="1" customWidth="1"/>
    <col min="774" max="1024" width="9" style="43"/>
    <col min="1025" max="1025" width="5.375" style="43" customWidth="1"/>
    <col min="1026" max="1026" width="88" style="43" customWidth="1"/>
    <col min="1027" max="1027" width="14.875" style="43" customWidth="1"/>
    <col min="1028" max="1028" width="9" style="43"/>
    <col min="1029" max="1029" width="12.25" style="43" bestFit="1" customWidth="1"/>
    <col min="1030" max="1280" width="9" style="43"/>
    <col min="1281" max="1281" width="5.375" style="43" customWidth="1"/>
    <col min="1282" max="1282" width="88" style="43" customWidth="1"/>
    <col min="1283" max="1283" width="14.875" style="43" customWidth="1"/>
    <col min="1284" max="1284" width="9" style="43"/>
    <col min="1285" max="1285" width="12.25" style="43" bestFit="1" customWidth="1"/>
    <col min="1286" max="1536" width="9" style="43"/>
    <col min="1537" max="1537" width="5.375" style="43" customWidth="1"/>
    <col min="1538" max="1538" width="88" style="43" customWidth="1"/>
    <col min="1539" max="1539" width="14.875" style="43" customWidth="1"/>
    <col min="1540" max="1540" width="9" style="43"/>
    <col min="1541" max="1541" width="12.25" style="43" bestFit="1" customWidth="1"/>
    <col min="1542" max="1792" width="9" style="43"/>
    <col min="1793" max="1793" width="5.375" style="43" customWidth="1"/>
    <col min="1794" max="1794" width="88" style="43" customWidth="1"/>
    <col min="1795" max="1795" width="14.875" style="43" customWidth="1"/>
    <col min="1796" max="1796" width="9" style="43"/>
    <col min="1797" max="1797" width="12.25" style="43" bestFit="1" customWidth="1"/>
    <col min="1798" max="2048" width="9" style="43"/>
    <col min="2049" max="2049" width="5.375" style="43" customWidth="1"/>
    <col min="2050" max="2050" width="88" style="43" customWidth="1"/>
    <col min="2051" max="2051" width="14.875" style="43" customWidth="1"/>
    <col min="2052" max="2052" width="9" style="43"/>
    <col min="2053" max="2053" width="12.25" style="43" bestFit="1" customWidth="1"/>
    <col min="2054" max="2304" width="9" style="43"/>
    <col min="2305" max="2305" width="5.375" style="43" customWidth="1"/>
    <col min="2306" max="2306" width="88" style="43" customWidth="1"/>
    <col min="2307" max="2307" width="14.875" style="43" customWidth="1"/>
    <col min="2308" max="2308" width="9" style="43"/>
    <col min="2309" max="2309" width="12.25" style="43" bestFit="1" customWidth="1"/>
    <col min="2310" max="2560" width="9" style="43"/>
    <col min="2561" max="2561" width="5.375" style="43" customWidth="1"/>
    <col min="2562" max="2562" width="88" style="43" customWidth="1"/>
    <col min="2563" max="2563" width="14.875" style="43" customWidth="1"/>
    <col min="2564" max="2564" width="9" style="43"/>
    <col min="2565" max="2565" width="12.25" style="43" bestFit="1" customWidth="1"/>
    <col min="2566" max="2816" width="9" style="43"/>
    <col min="2817" max="2817" width="5.375" style="43" customWidth="1"/>
    <col min="2818" max="2818" width="88" style="43" customWidth="1"/>
    <col min="2819" max="2819" width="14.875" style="43" customWidth="1"/>
    <col min="2820" max="2820" width="9" style="43"/>
    <col min="2821" max="2821" width="12.25" style="43" bestFit="1" customWidth="1"/>
    <col min="2822" max="3072" width="9" style="43"/>
    <col min="3073" max="3073" width="5.375" style="43" customWidth="1"/>
    <col min="3074" max="3074" width="88" style="43" customWidth="1"/>
    <col min="3075" max="3075" width="14.875" style="43" customWidth="1"/>
    <col min="3076" max="3076" width="9" style="43"/>
    <col min="3077" max="3077" width="12.25" style="43" bestFit="1" customWidth="1"/>
    <col min="3078" max="3328" width="9" style="43"/>
    <col min="3329" max="3329" width="5.375" style="43" customWidth="1"/>
    <col min="3330" max="3330" width="88" style="43" customWidth="1"/>
    <col min="3331" max="3331" width="14.875" style="43" customWidth="1"/>
    <col min="3332" max="3332" width="9" style="43"/>
    <col min="3333" max="3333" width="12.25" style="43" bestFit="1" customWidth="1"/>
    <col min="3334" max="3584" width="9" style="43"/>
    <col min="3585" max="3585" width="5.375" style="43" customWidth="1"/>
    <col min="3586" max="3586" width="88" style="43" customWidth="1"/>
    <col min="3587" max="3587" width="14.875" style="43" customWidth="1"/>
    <col min="3588" max="3588" width="9" style="43"/>
    <col min="3589" max="3589" width="12.25" style="43" bestFit="1" customWidth="1"/>
    <col min="3590" max="3840" width="9" style="43"/>
    <col min="3841" max="3841" width="5.375" style="43" customWidth="1"/>
    <col min="3842" max="3842" width="88" style="43" customWidth="1"/>
    <col min="3843" max="3843" width="14.875" style="43" customWidth="1"/>
    <col min="3844" max="3844" width="9" style="43"/>
    <col min="3845" max="3845" width="12.25" style="43" bestFit="1" customWidth="1"/>
    <col min="3846" max="4096" width="9" style="43"/>
    <col min="4097" max="4097" width="5.375" style="43" customWidth="1"/>
    <col min="4098" max="4098" width="88" style="43" customWidth="1"/>
    <col min="4099" max="4099" width="14.875" style="43" customWidth="1"/>
    <col min="4100" max="4100" width="9" style="43"/>
    <col min="4101" max="4101" width="12.25" style="43" bestFit="1" customWidth="1"/>
    <col min="4102" max="4352" width="9" style="43"/>
    <col min="4353" max="4353" width="5.375" style="43" customWidth="1"/>
    <col min="4354" max="4354" width="88" style="43" customWidth="1"/>
    <col min="4355" max="4355" width="14.875" style="43" customWidth="1"/>
    <col min="4356" max="4356" width="9" style="43"/>
    <col min="4357" max="4357" width="12.25" style="43" bestFit="1" customWidth="1"/>
    <col min="4358" max="4608" width="9" style="43"/>
    <col min="4609" max="4609" width="5.375" style="43" customWidth="1"/>
    <col min="4610" max="4610" width="88" style="43" customWidth="1"/>
    <col min="4611" max="4611" width="14.875" style="43" customWidth="1"/>
    <col min="4612" max="4612" width="9" style="43"/>
    <col min="4613" max="4613" width="12.25" style="43" bestFit="1" customWidth="1"/>
    <col min="4614" max="4864" width="9" style="43"/>
    <col min="4865" max="4865" width="5.375" style="43" customWidth="1"/>
    <col min="4866" max="4866" width="88" style="43" customWidth="1"/>
    <col min="4867" max="4867" width="14.875" style="43" customWidth="1"/>
    <col min="4868" max="4868" width="9" style="43"/>
    <col min="4869" max="4869" width="12.25" style="43" bestFit="1" customWidth="1"/>
    <col min="4870" max="5120" width="9" style="43"/>
    <col min="5121" max="5121" width="5.375" style="43" customWidth="1"/>
    <col min="5122" max="5122" width="88" style="43" customWidth="1"/>
    <col min="5123" max="5123" width="14.875" style="43" customWidth="1"/>
    <col min="5124" max="5124" width="9" style="43"/>
    <col min="5125" max="5125" width="12.25" style="43" bestFit="1" customWidth="1"/>
    <col min="5126" max="5376" width="9" style="43"/>
    <col min="5377" max="5377" width="5.375" style="43" customWidth="1"/>
    <col min="5378" max="5378" width="88" style="43" customWidth="1"/>
    <col min="5379" max="5379" width="14.875" style="43" customWidth="1"/>
    <col min="5380" max="5380" width="9" style="43"/>
    <col min="5381" max="5381" width="12.25" style="43" bestFit="1" customWidth="1"/>
    <col min="5382" max="5632" width="9" style="43"/>
    <col min="5633" max="5633" width="5.375" style="43" customWidth="1"/>
    <col min="5634" max="5634" width="88" style="43" customWidth="1"/>
    <col min="5635" max="5635" width="14.875" style="43" customWidth="1"/>
    <col min="5636" max="5636" width="9" style="43"/>
    <col min="5637" max="5637" width="12.25" style="43" bestFit="1" customWidth="1"/>
    <col min="5638" max="5888" width="9" style="43"/>
    <col min="5889" max="5889" width="5.375" style="43" customWidth="1"/>
    <col min="5890" max="5890" width="88" style="43" customWidth="1"/>
    <col min="5891" max="5891" width="14.875" style="43" customWidth="1"/>
    <col min="5892" max="5892" width="9" style="43"/>
    <col min="5893" max="5893" width="12.25" style="43" bestFit="1" customWidth="1"/>
    <col min="5894" max="6144" width="9" style="43"/>
    <col min="6145" max="6145" width="5.375" style="43" customWidth="1"/>
    <col min="6146" max="6146" width="88" style="43" customWidth="1"/>
    <col min="6147" max="6147" width="14.875" style="43" customWidth="1"/>
    <col min="6148" max="6148" width="9" style="43"/>
    <col min="6149" max="6149" width="12.25" style="43" bestFit="1" customWidth="1"/>
    <col min="6150" max="6400" width="9" style="43"/>
    <col min="6401" max="6401" width="5.375" style="43" customWidth="1"/>
    <col min="6402" max="6402" width="88" style="43" customWidth="1"/>
    <col min="6403" max="6403" width="14.875" style="43" customWidth="1"/>
    <col min="6404" max="6404" width="9" style="43"/>
    <col min="6405" max="6405" width="12.25" style="43" bestFit="1" customWidth="1"/>
    <col min="6406" max="6656" width="9" style="43"/>
    <col min="6657" max="6657" width="5.375" style="43" customWidth="1"/>
    <col min="6658" max="6658" width="88" style="43" customWidth="1"/>
    <col min="6659" max="6659" width="14.875" style="43" customWidth="1"/>
    <col min="6660" max="6660" width="9" style="43"/>
    <col min="6661" max="6661" width="12.25" style="43" bestFit="1" customWidth="1"/>
    <col min="6662" max="6912" width="9" style="43"/>
    <col min="6913" max="6913" width="5.375" style="43" customWidth="1"/>
    <col min="6914" max="6914" width="88" style="43" customWidth="1"/>
    <col min="6915" max="6915" width="14.875" style="43" customWidth="1"/>
    <col min="6916" max="6916" width="9" style="43"/>
    <col min="6917" max="6917" width="12.25" style="43" bestFit="1" customWidth="1"/>
    <col min="6918" max="7168" width="9" style="43"/>
    <col min="7169" max="7169" width="5.375" style="43" customWidth="1"/>
    <col min="7170" max="7170" width="88" style="43" customWidth="1"/>
    <col min="7171" max="7171" width="14.875" style="43" customWidth="1"/>
    <col min="7172" max="7172" width="9" style="43"/>
    <col min="7173" max="7173" width="12.25" style="43" bestFit="1" customWidth="1"/>
    <col min="7174" max="7424" width="9" style="43"/>
    <col min="7425" max="7425" width="5.375" style="43" customWidth="1"/>
    <col min="7426" max="7426" width="88" style="43" customWidth="1"/>
    <col min="7427" max="7427" width="14.875" style="43" customWidth="1"/>
    <col min="7428" max="7428" width="9" style="43"/>
    <col min="7429" max="7429" width="12.25" style="43" bestFit="1" customWidth="1"/>
    <col min="7430" max="7680" width="9" style="43"/>
    <col min="7681" max="7681" width="5.375" style="43" customWidth="1"/>
    <col min="7682" max="7682" width="88" style="43" customWidth="1"/>
    <col min="7683" max="7683" width="14.875" style="43" customWidth="1"/>
    <col min="7684" max="7684" width="9" style="43"/>
    <col min="7685" max="7685" width="12.25" style="43" bestFit="1" customWidth="1"/>
    <col min="7686" max="7936" width="9" style="43"/>
    <col min="7937" max="7937" width="5.375" style="43" customWidth="1"/>
    <col min="7938" max="7938" width="88" style="43" customWidth="1"/>
    <col min="7939" max="7939" width="14.875" style="43" customWidth="1"/>
    <col min="7940" max="7940" width="9" style="43"/>
    <col min="7941" max="7941" width="12.25" style="43" bestFit="1" customWidth="1"/>
    <col min="7942" max="8192" width="9" style="43"/>
    <col min="8193" max="8193" width="5.375" style="43" customWidth="1"/>
    <col min="8194" max="8194" width="88" style="43" customWidth="1"/>
    <col min="8195" max="8195" width="14.875" style="43" customWidth="1"/>
    <col min="8196" max="8196" width="9" style="43"/>
    <col min="8197" max="8197" width="12.25" style="43" bestFit="1" customWidth="1"/>
    <col min="8198" max="8448" width="9" style="43"/>
    <col min="8449" max="8449" width="5.375" style="43" customWidth="1"/>
    <col min="8450" max="8450" width="88" style="43" customWidth="1"/>
    <col min="8451" max="8451" width="14.875" style="43" customWidth="1"/>
    <col min="8452" max="8452" width="9" style="43"/>
    <col min="8453" max="8453" width="12.25" style="43" bestFit="1" customWidth="1"/>
    <col min="8454" max="8704" width="9" style="43"/>
    <col min="8705" max="8705" width="5.375" style="43" customWidth="1"/>
    <col min="8706" max="8706" width="88" style="43" customWidth="1"/>
    <col min="8707" max="8707" width="14.875" style="43" customWidth="1"/>
    <col min="8708" max="8708" width="9" style="43"/>
    <col min="8709" max="8709" width="12.25" style="43" bestFit="1" customWidth="1"/>
    <col min="8710" max="8960" width="9" style="43"/>
    <col min="8961" max="8961" width="5.375" style="43" customWidth="1"/>
    <col min="8962" max="8962" width="88" style="43" customWidth="1"/>
    <col min="8963" max="8963" width="14.875" style="43" customWidth="1"/>
    <col min="8964" max="8964" width="9" style="43"/>
    <col min="8965" max="8965" width="12.25" style="43" bestFit="1" customWidth="1"/>
    <col min="8966" max="9216" width="9" style="43"/>
    <col min="9217" max="9217" width="5.375" style="43" customWidth="1"/>
    <col min="9218" max="9218" width="88" style="43" customWidth="1"/>
    <col min="9219" max="9219" width="14.875" style="43" customWidth="1"/>
    <col min="9220" max="9220" width="9" style="43"/>
    <col min="9221" max="9221" width="12.25" style="43" bestFit="1" customWidth="1"/>
    <col min="9222" max="9472" width="9" style="43"/>
    <col min="9473" max="9473" width="5.375" style="43" customWidth="1"/>
    <col min="9474" max="9474" width="88" style="43" customWidth="1"/>
    <col min="9475" max="9475" width="14.875" style="43" customWidth="1"/>
    <col min="9476" max="9476" width="9" style="43"/>
    <col min="9477" max="9477" width="12.25" style="43" bestFit="1" customWidth="1"/>
    <col min="9478" max="9728" width="9" style="43"/>
    <col min="9729" max="9729" width="5.375" style="43" customWidth="1"/>
    <col min="9730" max="9730" width="88" style="43" customWidth="1"/>
    <col min="9731" max="9731" width="14.875" style="43" customWidth="1"/>
    <col min="9732" max="9732" width="9" style="43"/>
    <col min="9733" max="9733" width="12.25" style="43" bestFit="1" customWidth="1"/>
    <col min="9734" max="9984" width="9" style="43"/>
    <col min="9985" max="9985" width="5.375" style="43" customWidth="1"/>
    <col min="9986" max="9986" width="88" style="43" customWidth="1"/>
    <col min="9987" max="9987" width="14.875" style="43" customWidth="1"/>
    <col min="9988" max="9988" width="9" style="43"/>
    <col min="9989" max="9989" width="12.25" style="43" bestFit="1" customWidth="1"/>
    <col min="9990" max="10240" width="9" style="43"/>
    <col min="10241" max="10241" width="5.375" style="43" customWidth="1"/>
    <col min="10242" max="10242" width="88" style="43" customWidth="1"/>
    <col min="10243" max="10243" width="14.875" style="43" customWidth="1"/>
    <col min="10244" max="10244" width="9" style="43"/>
    <col min="10245" max="10245" width="12.25" style="43" bestFit="1" customWidth="1"/>
    <col min="10246" max="10496" width="9" style="43"/>
    <col min="10497" max="10497" width="5.375" style="43" customWidth="1"/>
    <col min="10498" max="10498" width="88" style="43" customWidth="1"/>
    <col min="10499" max="10499" width="14.875" style="43" customWidth="1"/>
    <col min="10500" max="10500" width="9" style="43"/>
    <col min="10501" max="10501" width="12.25" style="43" bestFit="1" customWidth="1"/>
    <col min="10502" max="10752" width="9" style="43"/>
    <col min="10753" max="10753" width="5.375" style="43" customWidth="1"/>
    <col min="10754" max="10754" width="88" style="43" customWidth="1"/>
    <col min="10755" max="10755" width="14.875" style="43" customWidth="1"/>
    <col min="10756" max="10756" width="9" style="43"/>
    <col min="10757" max="10757" width="12.25" style="43" bestFit="1" customWidth="1"/>
    <col min="10758" max="11008" width="9" style="43"/>
    <col min="11009" max="11009" width="5.375" style="43" customWidth="1"/>
    <col min="11010" max="11010" width="88" style="43" customWidth="1"/>
    <col min="11011" max="11011" width="14.875" style="43" customWidth="1"/>
    <col min="11012" max="11012" width="9" style="43"/>
    <col min="11013" max="11013" width="12.25" style="43" bestFit="1" customWidth="1"/>
    <col min="11014" max="11264" width="9" style="43"/>
    <col min="11265" max="11265" width="5.375" style="43" customWidth="1"/>
    <col min="11266" max="11266" width="88" style="43" customWidth="1"/>
    <col min="11267" max="11267" width="14.875" style="43" customWidth="1"/>
    <col min="11268" max="11268" width="9" style="43"/>
    <col min="11269" max="11269" width="12.25" style="43" bestFit="1" customWidth="1"/>
    <col min="11270" max="11520" width="9" style="43"/>
    <col min="11521" max="11521" width="5.375" style="43" customWidth="1"/>
    <col min="11522" max="11522" width="88" style="43" customWidth="1"/>
    <col min="11523" max="11523" width="14.875" style="43" customWidth="1"/>
    <col min="11524" max="11524" width="9" style="43"/>
    <col min="11525" max="11525" width="12.25" style="43" bestFit="1" customWidth="1"/>
    <col min="11526" max="11776" width="9" style="43"/>
    <col min="11777" max="11777" width="5.375" style="43" customWidth="1"/>
    <col min="11778" max="11778" width="88" style="43" customWidth="1"/>
    <col min="11779" max="11779" width="14.875" style="43" customWidth="1"/>
    <col min="11780" max="11780" width="9" style="43"/>
    <col min="11781" max="11781" width="12.25" style="43" bestFit="1" customWidth="1"/>
    <col min="11782" max="12032" width="9" style="43"/>
    <col min="12033" max="12033" width="5.375" style="43" customWidth="1"/>
    <col min="12034" max="12034" width="88" style="43" customWidth="1"/>
    <col min="12035" max="12035" width="14.875" style="43" customWidth="1"/>
    <col min="12036" max="12036" width="9" style="43"/>
    <col min="12037" max="12037" width="12.25" style="43" bestFit="1" customWidth="1"/>
    <col min="12038" max="12288" width="9" style="43"/>
    <col min="12289" max="12289" width="5.375" style="43" customWidth="1"/>
    <col min="12290" max="12290" width="88" style="43" customWidth="1"/>
    <col min="12291" max="12291" width="14.875" style="43" customWidth="1"/>
    <col min="12292" max="12292" width="9" style="43"/>
    <col min="12293" max="12293" width="12.25" style="43" bestFit="1" customWidth="1"/>
    <col min="12294" max="12544" width="9" style="43"/>
    <col min="12545" max="12545" width="5.375" style="43" customWidth="1"/>
    <col min="12546" max="12546" width="88" style="43" customWidth="1"/>
    <col min="12547" max="12547" width="14.875" style="43" customWidth="1"/>
    <col min="12548" max="12548" width="9" style="43"/>
    <col min="12549" max="12549" width="12.25" style="43" bestFit="1" customWidth="1"/>
    <col min="12550" max="12800" width="9" style="43"/>
    <col min="12801" max="12801" width="5.375" style="43" customWidth="1"/>
    <col min="12802" max="12802" width="88" style="43" customWidth="1"/>
    <col min="12803" max="12803" width="14.875" style="43" customWidth="1"/>
    <col min="12804" max="12804" width="9" style="43"/>
    <col min="12805" max="12805" width="12.25" style="43" bestFit="1" customWidth="1"/>
    <col min="12806" max="13056" width="9" style="43"/>
    <col min="13057" max="13057" width="5.375" style="43" customWidth="1"/>
    <col min="13058" max="13058" width="88" style="43" customWidth="1"/>
    <col min="13059" max="13059" width="14.875" style="43" customWidth="1"/>
    <col min="13060" max="13060" width="9" style="43"/>
    <col min="13061" max="13061" width="12.25" style="43" bestFit="1" customWidth="1"/>
    <col min="13062" max="13312" width="9" style="43"/>
    <col min="13313" max="13313" width="5.375" style="43" customWidth="1"/>
    <col min="13314" max="13314" width="88" style="43" customWidth="1"/>
    <col min="13315" max="13315" width="14.875" style="43" customWidth="1"/>
    <col min="13316" max="13316" width="9" style="43"/>
    <col min="13317" max="13317" width="12.25" style="43" bestFit="1" customWidth="1"/>
    <col min="13318" max="13568" width="9" style="43"/>
    <col min="13569" max="13569" width="5.375" style="43" customWidth="1"/>
    <col min="13570" max="13570" width="88" style="43" customWidth="1"/>
    <col min="13571" max="13571" width="14.875" style="43" customWidth="1"/>
    <col min="13572" max="13572" width="9" style="43"/>
    <col min="13573" max="13573" width="12.25" style="43" bestFit="1" customWidth="1"/>
    <col min="13574" max="13824" width="9" style="43"/>
    <col min="13825" max="13825" width="5.375" style="43" customWidth="1"/>
    <col min="13826" max="13826" width="88" style="43" customWidth="1"/>
    <col min="13827" max="13827" width="14.875" style="43" customWidth="1"/>
    <col min="13828" max="13828" width="9" style="43"/>
    <col min="13829" max="13829" width="12.25" style="43" bestFit="1" customWidth="1"/>
    <col min="13830" max="14080" width="9" style="43"/>
    <col min="14081" max="14081" width="5.375" style="43" customWidth="1"/>
    <col min="14082" max="14082" width="88" style="43" customWidth="1"/>
    <col min="14083" max="14083" width="14.875" style="43" customWidth="1"/>
    <col min="14084" max="14084" width="9" style="43"/>
    <col min="14085" max="14085" width="12.25" style="43" bestFit="1" customWidth="1"/>
    <col min="14086" max="14336" width="9" style="43"/>
    <col min="14337" max="14337" width="5.375" style="43" customWidth="1"/>
    <col min="14338" max="14338" width="88" style="43" customWidth="1"/>
    <col min="14339" max="14339" width="14.875" style="43" customWidth="1"/>
    <col min="14340" max="14340" width="9" style="43"/>
    <col min="14341" max="14341" width="12.25" style="43" bestFit="1" customWidth="1"/>
    <col min="14342" max="14592" width="9" style="43"/>
    <col min="14593" max="14593" width="5.375" style="43" customWidth="1"/>
    <col min="14594" max="14594" width="88" style="43" customWidth="1"/>
    <col min="14595" max="14595" width="14.875" style="43" customWidth="1"/>
    <col min="14596" max="14596" width="9" style="43"/>
    <col min="14597" max="14597" width="12.25" style="43" bestFit="1" customWidth="1"/>
    <col min="14598" max="14848" width="9" style="43"/>
    <col min="14849" max="14849" width="5.375" style="43" customWidth="1"/>
    <col min="14850" max="14850" width="88" style="43" customWidth="1"/>
    <col min="14851" max="14851" width="14.875" style="43" customWidth="1"/>
    <col min="14852" max="14852" width="9" style="43"/>
    <col min="14853" max="14853" width="12.25" style="43" bestFit="1" customWidth="1"/>
    <col min="14854" max="15104" width="9" style="43"/>
    <col min="15105" max="15105" width="5.375" style="43" customWidth="1"/>
    <col min="15106" max="15106" width="88" style="43" customWidth="1"/>
    <col min="15107" max="15107" width="14.875" style="43" customWidth="1"/>
    <col min="15108" max="15108" width="9" style="43"/>
    <col min="15109" max="15109" width="12.25" style="43" bestFit="1" customWidth="1"/>
    <col min="15110" max="15360" width="9" style="43"/>
    <col min="15361" max="15361" width="5.375" style="43" customWidth="1"/>
    <col min="15362" max="15362" width="88" style="43" customWidth="1"/>
    <col min="15363" max="15363" width="14.875" style="43" customWidth="1"/>
    <col min="15364" max="15364" width="9" style="43"/>
    <col min="15365" max="15365" width="12.25" style="43" bestFit="1" customWidth="1"/>
    <col min="15366" max="15616" width="9" style="43"/>
    <col min="15617" max="15617" width="5.375" style="43" customWidth="1"/>
    <col min="15618" max="15618" width="88" style="43" customWidth="1"/>
    <col min="15619" max="15619" width="14.875" style="43" customWidth="1"/>
    <col min="15620" max="15620" width="9" style="43"/>
    <col min="15621" max="15621" width="12.25" style="43" bestFit="1" customWidth="1"/>
    <col min="15622" max="15872" width="9" style="43"/>
    <col min="15873" max="15873" width="5.375" style="43" customWidth="1"/>
    <col min="15874" max="15874" width="88" style="43" customWidth="1"/>
    <col min="15875" max="15875" width="14.875" style="43" customWidth="1"/>
    <col min="15876" max="15876" width="9" style="43"/>
    <col min="15877" max="15877" width="12.25" style="43" bestFit="1" customWidth="1"/>
    <col min="15878" max="16128" width="9" style="43"/>
    <col min="16129" max="16129" width="5.375" style="43" customWidth="1"/>
    <col min="16130" max="16130" width="88" style="43" customWidth="1"/>
    <col min="16131" max="16131" width="14.875" style="43" customWidth="1"/>
    <col min="16132" max="16132" width="9" style="43"/>
    <col min="16133" max="16133" width="12.25" style="43" bestFit="1" customWidth="1"/>
    <col min="16134" max="16384" width="9" style="43"/>
  </cols>
  <sheetData>
    <row r="1" spans="1:5" ht="23.25" x14ac:dyDescent="0.5">
      <c r="A1" s="823" t="s">
        <v>16</v>
      </c>
      <c r="B1" s="823"/>
      <c r="C1" s="823"/>
    </row>
    <row r="2" spans="1:5" ht="23.25" x14ac:dyDescent="0.5">
      <c r="A2" s="147"/>
      <c r="B2" s="383" t="s">
        <v>471</v>
      </c>
      <c r="C2" s="46"/>
    </row>
    <row r="3" spans="1:5" x14ac:dyDescent="0.5">
      <c r="A3" s="877" t="s">
        <v>472</v>
      </c>
      <c r="B3" s="877"/>
      <c r="C3" s="877"/>
    </row>
    <row r="4" spans="1:5" x14ac:dyDescent="0.5">
      <c r="A4" s="47"/>
      <c r="B4" s="47" t="s">
        <v>473</v>
      </c>
      <c r="C4" s="47"/>
    </row>
    <row r="5" spans="1:5" ht="22.5" thickBot="1" x14ac:dyDescent="0.55000000000000004">
      <c r="A5" s="47"/>
      <c r="B5" s="47"/>
      <c r="C5" s="48"/>
    </row>
    <row r="6" spans="1:5" s="51" customFormat="1" ht="18.75" x14ac:dyDescent="0.3">
      <c r="A6" s="49"/>
      <c r="B6" s="49" t="s">
        <v>17</v>
      </c>
      <c r="C6" s="50" t="s">
        <v>18</v>
      </c>
      <c r="E6" s="52"/>
    </row>
    <row r="7" spans="1:5" ht="22.5" thickBot="1" x14ac:dyDescent="0.55000000000000004">
      <c r="A7" s="53"/>
      <c r="B7" s="54" t="s">
        <v>422</v>
      </c>
      <c r="C7" s="55" t="s">
        <v>19</v>
      </c>
    </row>
    <row r="8" spans="1:5" ht="22.5" thickBot="1" x14ac:dyDescent="0.55000000000000004">
      <c r="A8" s="362">
        <v>1</v>
      </c>
      <c r="B8" s="85" t="s">
        <v>72</v>
      </c>
      <c r="C8" s="384">
        <f>SUM(C9:C16)</f>
        <v>4630000</v>
      </c>
    </row>
    <row r="9" spans="1:5" x14ac:dyDescent="0.5">
      <c r="A9" s="53"/>
      <c r="B9" s="364" t="s">
        <v>423</v>
      </c>
      <c r="C9" s="365">
        <v>640000</v>
      </c>
    </row>
    <row r="10" spans="1:5" x14ac:dyDescent="0.5">
      <c r="A10" s="53"/>
      <c r="B10" s="366" t="s">
        <v>424</v>
      </c>
      <c r="C10" s="64">
        <v>600000</v>
      </c>
    </row>
    <row r="11" spans="1:5" x14ac:dyDescent="0.5">
      <c r="A11" s="53"/>
      <c r="B11" s="366" t="s">
        <v>425</v>
      </c>
      <c r="C11" s="64">
        <v>300000</v>
      </c>
    </row>
    <row r="12" spans="1:5" x14ac:dyDescent="0.5">
      <c r="A12" s="53"/>
      <c r="B12" s="366" t="s">
        <v>426</v>
      </c>
      <c r="C12" s="64">
        <v>300000</v>
      </c>
    </row>
    <row r="13" spans="1:5" x14ac:dyDescent="0.5">
      <c r="A13" s="53"/>
      <c r="B13" s="366" t="s">
        <v>427</v>
      </c>
      <c r="C13" s="64">
        <v>300000</v>
      </c>
    </row>
    <row r="14" spans="1:5" x14ac:dyDescent="0.5">
      <c r="A14" s="53"/>
      <c r="B14" s="366" t="s">
        <v>428</v>
      </c>
      <c r="C14" s="64">
        <v>300000</v>
      </c>
    </row>
    <row r="15" spans="1:5" ht="22.5" thickBot="1" x14ac:dyDescent="0.55000000000000004">
      <c r="A15" s="53"/>
      <c r="B15" s="366" t="s">
        <v>429</v>
      </c>
      <c r="C15" s="67">
        <v>1200000</v>
      </c>
    </row>
    <row r="16" spans="1:5" s="70" customFormat="1" ht="26.25" customHeight="1" thickBot="1" x14ac:dyDescent="0.55000000000000004">
      <c r="A16" s="362">
        <v>2</v>
      </c>
      <c r="B16" s="85" t="s">
        <v>79</v>
      </c>
      <c r="C16" s="385">
        <f>SUM(C17:C19)</f>
        <v>990000</v>
      </c>
    </row>
    <row r="17" spans="1:3" s="70" customFormat="1" ht="26.25" customHeight="1" x14ac:dyDescent="0.5">
      <c r="A17" s="878"/>
      <c r="B17" s="368" t="s">
        <v>430</v>
      </c>
      <c r="C17" s="101">
        <v>540000</v>
      </c>
    </row>
    <row r="18" spans="1:3" s="70" customFormat="1" ht="26.25" customHeight="1" x14ac:dyDescent="0.5">
      <c r="A18" s="879"/>
      <c r="B18" s="368" t="s">
        <v>431</v>
      </c>
      <c r="C18" s="64">
        <v>270000</v>
      </c>
    </row>
    <row r="19" spans="1:3" s="70" customFormat="1" ht="26.25" customHeight="1" thickBot="1" x14ac:dyDescent="0.55000000000000004">
      <c r="A19" s="880"/>
      <c r="B19" s="368" t="s">
        <v>432</v>
      </c>
      <c r="C19" s="369">
        <v>180000</v>
      </c>
    </row>
    <row r="20" spans="1:3" s="70" customFormat="1" ht="26.25" customHeight="1" thickBot="1" x14ac:dyDescent="0.45">
      <c r="A20" s="362">
        <v>3</v>
      </c>
      <c r="B20" s="85" t="s">
        <v>81</v>
      </c>
      <c r="C20" s="370"/>
    </row>
    <row r="21" spans="1:3" s="70" customFormat="1" ht="47.25" customHeight="1" thickBot="1" x14ac:dyDescent="0.45">
      <c r="A21" s="362">
        <v>3.1</v>
      </c>
      <c r="B21" s="111" t="s">
        <v>474</v>
      </c>
      <c r="C21" s="386">
        <f>SUM(C22:C27)</f>
        <v>826000</v>
      </c>
    </row>
    <row r="22" spans="1:3" s="82" customFormat="1" ht="23.25" customHeight="1" x14ac:dyDescent="0.2">
      <c r="A22" s="79"/>
      <c r="B22" s="90" t="s">
        <v>475</v>
      </c>
      <c r="C22" s="372">
        <v>96000</v>
      </c>
    </row>
    <row r="23" spans="1:3" s="82" customFormat="1" ht="23.25" customHeight="1" x14ac:dyDescent="0.2">
      <c r="A23" s="79"/>
      <c r="B23" s="83" t="s">
        <v>476</v>
      </c>
      <c r="C23" s="87">
        <v>500000</v>
      </c>
    </row>
    <row r="24" spans="1:3" s="82" customFormat="1" ht="23.25" customHeight="1" x14ac:dyDescent="0.2">
      <c r="A24" s="79"/>
      <c r="B24" s="83" t="s">
        <v>477</v>
      </c>
      <c r="C24" s="87">
        <v>50000</v>
      </c>
    </row>
    <row r="25" spans="1:3" s="82" customFormat="1" ht="23.25" customHeight="1" x14ac:dyDescent="0.2">
      <c r="A25" s="79"/>
      <c r="B25" s="108" t="s">
        <v>437</v>
      </c>
      <c r="C25" s="87"/>
    </row>
    <row r="26" spans="1:3" s="82" customFormat="1" ht="23.25" customHeight="1" x14ac:dyDescent="0.2">
      <c r="A26" s="79"/>
      <c r="B26" s="90" t="s">
        <v>478</v>
      </c>
      <c r="C26" s="87">
        <v>150000</v>
      </c>
    </row>
    <row r="27" spans="1:3" s="82" customFormat="1" ht="23.25" customHeight="1" thickBot="1" x14ac:dyDescent="0.25">
      <c r="A27" s="79"/>
      <c r="B27" s="373" t="s">
        <v>439</v>
      </c>
      <c r="C27" s="87">
        <v>30000</v>
      </c>
    </row>
    <row r="28" spans="1:3" s="89" customFormat="1" ht="42" customHeight="1" thickBot="1" x14ac:dyDescent="0.35">
      <c r="A28" s="362">
        <v>3.2</v>
      </c>
      <c r="B28" s="111" t="s">
        <v>479</v>
      </c>
      <c r="C28" s="387">
        <f>SUM(C29:C33)</f>
        <v>4994000</v>
      </c>
    </row>
    <row r="29" spans="1:3" s="82" customFormat="1" ht="23.25" customHeight="1" x14ac:dyDescent="0.2">
      <c r="A29" s="79"/>
      <c r="B29" s="90" t="s">
        <v>480</v>
      </c>
      <c r="C29" s="87">
        <v>384000</v>
      </c>
    </row>
    <row r="30" spans="1:3" s="82" customFormat="1" ht="23.25" customHeight="1" x14ac:dyDescent="0.5">
      <c r="A30" s="79"/>
      <c r="B30" s="80" t="s">
        <v>481</v>
      </c>
      <c r="C30" s="88">
        <v>2000000</v>
      </c>
    </row>
    <row r="31" spans="1:3" s="82" customFormat="1" ht="23.25" customHeight="1" x14ac:dyDescent="0.2">
      <c r="A31" s="79"/>
      <c r="B31" s="375" t="s">
        <v>482</v>
      </c>
      <c r="C31" s="93">
        <v>960000</v>
      </c>
    </row>
    <row r="32" spans="1:3" s="82" customFormat="1" ht="23.25" customHeight="1" x14ac:dyDescent="0.2">
      <c r="A32" s="79"/>
      <c r="B32" s="94" t="s">
        <v>483</v>
      </c>
      <c r="C32" s="87">
        <v>1600000</v>
      </c>
    </row>
    <row r="33" spans="1:4" s="82" customFormat="1" ht="23.25" customHeight="1" thickBot="1" x14ac:dyDescent="0.25">
      <c r="A33" s="79"/>
      <c r="B33" s="95" t="s">
        <v>484</v>
      </c>
      <c r="C33" s="87">
        <v>50000</v>
      </c>
    </row>
    <row r="34" spans="1:4" s="70" customFormat="1" ht="21" thickBot="1" x14ac:dyDescent="0.45">
      <c r="A34" s="362">
        <v>3.3</v>
      </c>
      <c r="B34" s="85" t="s">
        <v>446</v>
      </c>
      <c r="C34" s="387">
        <f>SUM(C35:C39)</f>
        <v>177200</v>
      </c>
      <c r="D34" s="98"/>
    </row>
    <row r="35" spans="1:4" s="70" customFormat="1" x14ac:dyDescent="0.5">
      <c r="A35" s="102"/>
      <c r="B35" s="90" t="s">
        <v>485</v>
      </c>
      <c r="C35" s="87">
        <v>19200</v>
      </c>
    </row>
    <row r="36" spans="1:4" s="70" customFormat="1" x14ac:dyDescent="0.5">
      <c r="A36" s="102"/>
      <c r="B36" s="80" t="s">
        <v>486</v>
      </c>
      <c r="C36" s="88">
        <v>100000</v>
      </c>
    </row>
    <row r="37" spans="1:4" s="70" customFormat="1" x14ac:dyDescent="0.5">
      <c r="A37" s="102"/>
      <c r="B37" s="80" t="s">
        <v>487</v>
      </c>
      <c r="C37" s="88">
        <v>48000</v>
      </c>
    </row>
    <row r="38" spans="1:4" s="70" customFormat="1" x14ac:dyDescent="0.5">
      <c r="A38" s="102"/>
      <c r="B38" s="80" t="s">
        <v>450</v>
      </c>
      <c r="C38" s="88">
        <v>5000</v>
      </c>
    </row>
    <row r="39" spans="1:4" s="70" customFormat="1" ht="22.5" thickBot="1" x14ac:dyDescent="0.45">
      <c r="B39" s="80" t="s">
        <v>451</v>
      </c>
      <c r="C39" s="87">
        <v>5000</v>
      </c>
    </row>
    <row r="40" spans="1:4" ht="43.5" customHeight="1" thickBot="1" x14ac:dyDescent="0.55000000000000004">
      <c r="A40" s="362">
        <v>3.4</v>
      </c>
      <c r="B40" s="111" t="s">
        <v>452</v>
      </c>
      <c r="C40" s="387">
        <f>SUM(C41:C45)</f>
        <v>210800</v>
      </c>
    </row>
    <row r="41" spans="1:4" x14ac:dyDescent="0.5">
      <c r="B41" s="90" t="s">
        <v>488</v>
      </c>
      <c r="C41" s="87">
        <v>28800</v>
      </c>
    </row>
    <row r="42" spans="1:4" x14ac:dyDescent="0.5">
      <c r="B42" s="80" t="s">
        <v>486</v>
      </c>
      <c r="C42" s="88">
        <v>100000</v>
      </c>
    </row>
    <row r="43" spans="1:4" x14ac:dyDescent="0.5">
      <c r="B43" s="107" t="s">
        <v>489</v>
      </c>
      <c r="C43" s="87">
        <v>72000</v>
      </c>
    </row>
    <row r="44" spans="1:4" x14ac:dyDescent="0.5">
      <c r="B44" s="108" t="s">
        <v>450</v>
      </c>
      <c r="C44" s="87">
        <v>5000</v>
      </c>
    </row>
    <row r="45" spans="1:4" ht="22.5" thickBot="1" x14ac:dyDescent="0.55000000000000004">
      <c r="B45" s="80" t="s">
        <v>451</v>
      </c>
      <c r="C45" s="87">
        <v>5000</v>
      </c>
    </row>
    <row r="46" spans="1:4" s="378" customFormat="1" ht="42" customHeight="1" thickBot="1" x14ac:dyDescent="0.55000000000000004">
      <c r="A46" s="376">
        <v>3.5</v>
      </c>
      <c r="B46" s="111" t="s">
        <v>490</v>
      </c>
      <c r="C46" s="388">
        <f>SUM(C47:C53)</f>
        <v>496600</v>
      </c>
    </row>
    <row r="47" spans="1:4" x14ac:dyDescent="0.5">
      <c r="B47" s="107" t="s">
        <v>456</v>
      </c>
      <c r="C47" s="87">
        <v>200000</v>
      </c>
    </row>
    <row r="48" spans="1:4" x14ac:dyDescent="0.5">
      <c r="B48" s="108" t="s">
        <v>457</v>
      </c>
      <c r="C48" s="87">
        <v>20000</v>
      </c>
    </row>
    <row r="49" spans="1:3" x14ac:dyDescent="0.5">
      <c r="B49" s="80" t="s">
        <v>458</v>
      </c>
      <c r="C49" s="87">
        <v>60000</v>
      </c>
    </row>
    <row r="50" spans="1:3" x14ac:dyDescent="0.5">
      <c r="B50" s="80" t="s">
        <v>459</v>
      </c>
      <c r="C50" s="87">
        <v>30000</v>
      </c>
    </row>
    <row r="51" spans="1:3" x14ac:dyDescent="0.5">
      <c r="B51" s="80" t="s">
        <v>460</v>
      </c>
      <c r="C51" s="87">
        <v>165000</v>
      </c>
    </row>
    <row r="52" spans="1:3" x14ac:dyDescent="0.5">
      <c r="B52" s="80" t="s">
        <v>461</v>
      </c>
      <c r="C52" s="87">
        <v>19200</v>
      </c>
    </row>
    <row r="53" spans="1:3" ht="22.5" thickBot="1" x14ac:dyDescent="0.55000000000000004">
      <c r="B53" s="90" t="s">
        <v>462</v>
      </c>
      <c r="C53" s="112">
        <v>2400</v>
      </c>
    </row>
    <row r="54" spans="1:3" ht="22.5" thickBot="1" x14ac:dyDescent="0.55000000000000004">
      <c r="A54" s="362">
        <v>3.6</v>
      </c>
      <c r="B54" s="113" t="s">
        <v>463</v>
      </c>
      <c r="C54" s="389">
        <f>SUM(C55:C61)</f>
        <v>15300</v>
      </c>
    </row>
    <row r="55" spans="1:3" x14ac:dyDescent="0.5">
      <c r="B55" s="80" t="s">
        <v>464</v>
      </c>
      <c r="C55" s="131">
        <v>2580</v>
      </c>
    </row>
    <row r="56" spans="1:3" x14ac:dyDescent="0.5">
      <c r="B56" s="108" t="s">
        <v>465</v>
      </c>
      <c r="C56" s="88">
        <v>2580</v>
      </c>
    </row>
    <row r="57" spans="1:3" x14ac:dyDescent="0.5">
      <c r="B57" s="80" t="s">
        <v>466</v>
      </c>
      <c r="C57" s="88">
        <v>2580</v>
      </c>
    </row>
    <row r="58" spans="1:3" x14ac:dyDescent="0.5">
      <c r="B58" s="105" t="s">
        <v>467</v>
      </c>
      <c r="C58" s="88">
        <v>2580</v>
      </c>
    </row>
    <row r="59" spans="1:3" x14ac:dyDescent="0.5">
      <c r="B59" s="105" t="s">
        <v>468</v>
      </c>
      <c r="C59" s="88">
        <v>2580</v>
      </c>
    </row>
    <row r="60" spans="1:3" x14ac:dyDescent="0.5">
      <c r="B60" s="108" t="s">
        <v>469</v>
      </c>
      <c r="C60" s="88">
        <v>1200</v>
      </c>
    </row>
    <row r="61" spans="1:3" x14ac:dyDescent="0.5">
      <c r="B61" s="83" t="s">
        <v>470</v>
      </c>
      <c r="C61" s="88">
        <v>1200</v>
      </c>
    </row>
    <row r="62" spans="1:3" ht="24" x14ac:dyDescent="0.55000000000000004">
      <c r="A62" s="380"/>
      <c r="B62" s="381" t="s">
        <v>2</v>
      </c>
      <c r="C62" s="390">
        <f>C8+C21+C28+C34+C40+C46+C54</f>
        <v>11349900</v>
      </c>
    </row>
  </sheetData>
  <mergeCells count="3">
    <mergeCell ref="A1:C1"/>
    <mergeCell ref="A3:C3"/>
    <mergeCell ref="A17:A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2"/>
  <sheetViews>
    <sheetView workbookViewId="0">
      <selection activeCell="B20" sqref="B20"/>
    </sheetView>
  </sheetViews>
  <sheetFormatPr defaultRowHeight="21.75" x14ac:dyDescent="0.5"/>
  <cols>
    <col min="1" max="1" width="7.625" style="51" customWidth="1"/>
    <col min="2" max="2" width="106" style="43" customWidth="1"/>
    <col min="3" max="3" width="14.875" style="146" customWidth="1"/>
    <col min="4" max="4" width="9" style="43"/>
    <col min="5" max="5" width="12.25" style="43" bestFit="1" customWidth="1"/>
    <col min="6" max="256" width="9" style="43"/>
    <col min="257" max="257" width="7.625" style="43" customWidth="1"/>
    <col min="258" max="258" width="132" style="43" customWidth="1"/>
    <col min="259" max="259" width="14.875" style="43" customWidth="1"/>
    <col min="260" max="260" width="9" style="43"/>
    <col min="261" max="261" width="12.25" style="43" bestFit="1" customWidth="1"/>
    <col min="262" max="512" width="9" style="43"/>
    <col min="513" max="513" width="7.625" style="43" customWidth="1"/>
    <col min="514" max="514" width="132" style="43" customWidth="1"/>
    <col min="515" max="515" width="14.875" style="43" customWidth="1"/>
    <col min="516" max="516" width="9" style="43"/>
    <col min="517" max="517" width="12.25" style="43" bestFit="1" customWidth="1"/>
    <col min="518" max="768" width="9" style="43"/>
    <col min="769" max="769" width="7.625" style="43" customWidth="1"/>
    <col min="770" max="770" width="132" style="43" customWidth="1"/>
    <col min="771" max="771" width="14.875" style="43" customWidth="1"/>
    <col min="772" max="772" width="9" style="43"/>
    <col min="773" max="773" width="12.25" style="43" bestFit="1" customWidth="1"/>
    <col min="774" max="1024" width="9" style="43"/>
    <col min="1025" max="1025" width="7.625" style="43" customWidth="1"/>
    <col min="1026" max="1026" width="132" style="43" customWidth="1"/>
    <col min="1027" max="1027" width="14.875" style="43" customWidth="1"/>
    <col min="1028" max="1028" width="9" style="43"/>
    <col min="1029" max="1029" width="12.25" style="43" bestFit="1" customWidth="1"/>
    <col min="1030" max="1280" width="9" style="43"/>
    <col min="1281" max="1281" width="7.625" style="43" customWidth="1"/>
    <col min="1282" max="1282" width="132" style="43" customWidth="1"/>
    <col min="1283" max="1283" width="14.875" style="43" customWidth="1"/>
    <col min="1284" max="1284" width="9" style="43"/>
    <col min="1285" max="1285" width="12.25" style="43" bestFit="1" customWidth="1"/>
    <col min="1286" max="1536" width="9" style="43"/>
    <col min="1537" max="1537" width="7.625" style="43" customWidth="1"/>
    <col min="1538" max="1538" width="132" style="43" customWidth="1"/>
    <col min="1539" max="1539" width="14.875" style="43" customWidth="1"/>
    <col min="1540" max="1540" width="9" style="43"/>
    <col min="1541" max="1541" width="12.25" style="43" bestFit="1" customWidth="1"/>
    <col min="1542" max="1792" width="9" style="43"/>
    <col min="1793" max="1793" width="7.625" style="43" customWidth="1"/>
    <col min="1794" max="1794" width="132" style="43" customWidth="1"/>
    <col min="1795" max="1795" width="14.875" style="43" customWidth="1"/>
    <col min="1796" max="1796" width="9" style="43"/>
    <col min="1797" max="1797" width="12.25" style="43" bestFit="1" customWidth="1"/>
    <col min="1798" max="2048" width="9" style="43"/>
    <col min="2049" max="2049" width="7.625" style="43" customWidth="1"/>
    <col min="2050" max="2050" width="132" style="43" customWidth="1"/>
    <col min="2051" max="2051" width="14.875" style="43" customWidth="1"/>
    <col min="2052" max="2052" width="9" style="43"/>
    <col min="2053" max="2053" width="12.25" style="43" bestFit="1" customWidth="1"/>
    <col min="2054" max="2304" width="9" style="43"/>
    <col min="2305" max="2305" width="7.625" style="43" customWidth="1"/>
    <col min="2306" max="2306" width="132" style="43" customWidth="1"/>
    <col min="2307" max="2307" width="14.875" style="43" customWidth="1"/>
    <col min="2308" max="2308" width="9" style="43"/>
    <col min="2309" max="2309" width="12.25" style="43" bestFit="1" customWidth="1"/>
    <col min="2310" max="2560" width="9" style="43"/>
    <col min="2561" max="2561" width="7.625" style="43" customWidth="1"/>
    <col min="2562" max="2562" width="132" style="43" customWidth="1"/>
    <col min="2563" max="2563" width="14.875" style="43" customWidth="1"/>
    <col min="2564" max="2564" width="9" style="43"/>
    <col min="2565" max="2565" width="12.25" style="43" bestFit="1" customWidth="1"/>
    <col min="2566" max="2816" width="9" style="43"/>
    <col min="2817" max="2817" width="7.625" style="43" customWidth="1"/>
    <col min="2818" max="2818" width="132" style="43" customWidth="1"/>
    <col min="2819" max="2819" width="14.875" style="43" customWidth="1"/>
    <col min="2820" max="2820" width="9" style="43"/>
    <col min="2821" max="2821" width="12.25" style="43" bestFit="1" customWidth="1"/>
    <col min="2822" max="3072" width="9" style="43"/>
    <col min="3073" max="3073" width="7.625" style="43" customWidth="1"/>
    <col min="3074" max="3074" width="132" style="43" customWidth="1"/>
    <col min="3075" max="3075" width="14.875" style="43" customWidth="1"/>
    <col min="3076" max="3076" width="9" style="43"/>
    <col min="3077" max="3077" width="12.25" style="43" bestFit="1" customWidth="1"/>
    <col min="3078" max="3328" width="9" style="43"/>
    <col min="3329" max="3329" width="7.625" style="43" customWidth="1"/>
    <col min="3330" max="3330" width="132" style="43" customWidth="1"/>
    <col min="3331" max="3331" width="14.875" style="43" customWidth="1"/>
    <col min="3332" max="3332" width="9" style="43"/>
    <col min="3333" max="3333" width="12.25" style="43" bestFit="1" customWidth="1"/>
    <col min="3334" max="3584" width="9" style="43"/>
    <col min="3585" max="3585" width="7.625" style="43" customWidth="1"/>
    <col min="3586" max="3586" width="132" style="43" customWidth="1"/>
    <col min="3587" max="3587" width="14.875" style="43" customWidth="1"/>
    <col min="3588" max="3588" width="9" style="43"/>
    <col min="3589" max="3589" width="12.25" style="43" bestFit="1" customWidth="1"/>
    <col min="3590" max="3840" width="9" style="43"/>
    <col min="3841" max="3841" width="7.625" style="43" customWidth="1"/>
    <col min="3842" max="3842" width="132" style="43" customWidth="1"/>
    <col min="3843" max="3843" width="14.875" style="43" customWidth="1"/>
    <col min="3844" max="3844" width="9" style="43"/>
    <col min="3845" max="3845" width="12.25" style="43" bestFit="1" customWidth="1"/>
    <col min="3846" max="4096" width="9" style="43"/>
    <col min="4097" max="4097" width="7.625" style="43" customWidth="1"/>
    <col min="4098" max="4098" width="132" style="43" customWidth="1"/>
    <col min="4099" max="4099" width="14.875" style="43" customWidth="1"/>
    <col min="4100" max="4100" width="9" style="43"/>
    <col min="4101" max="4101" width="12.25" style="43" bestFit="1" customWidth="1"/>
    <col min="4102" max="4352" width="9" style="43"/>
    <col min="4353" max="4353" width="7.625" style="43" customWidth="1"/>
    <col min="4354" max="4354" width="132" style="43" customWidth="1"/>
    <col min="4355" max="4355" width="14.875" style="43" customWidth="1"/>
    <col min="4356" max="4356" width="9" style="43"/>
    <col min="4357" max="4357" width="12.25" style="43" bestFit="1" customWidth="1"/>
    <col min="4358" max="4608" width="9" style="43"/>
    <col min="4609" max="4609" width="7.625" style="43" customWidth="1"/>
    <col min="4610" max="4610" width="132" style="43" customWidth="1"/>
    <col min="4611" max="4611" width="14.875" style="43" customWidth="1"/>
    <col min="4612" max="4612" width="9" style="43"/>
    <col min="4613" max="4613" width="12.25" style="43" bestFit="1" customWidth="1"/>
    <col min="4614" max="4864" width="9" style="43"/>
    <col min="4865" max="4865" width="7.625" style="43" customWidth="1"/>
    <col min="4866" max="4866" width="132" style="43" customWidth="1"/>
    <col min="4867" max="4867" width="14.875" style="43" customWidth="1"/>
    <col min="4868" max="4868" width="9" style="43"/>
    <col min="4869" max="4869" width="12.25" style="43" bestFit="1" customWidth="1"/>
    <col min="4870" max="5120" width="9" style="43"/>
    <col min="5121" max="5121" width="7.625" style="43" customWidth="1"/>
    <col min="5122" max="5122" width="132" style="43" customWidth="1"/>
    <col min="5123" max="5123" width="14.875" style="43" customWidth="1"/>
    <col min="5124" max="5124" width="9" style="43"/>
    <col min="5125" max="5125" width="12.25" style="43" bestFit="1" customWidth="1"/>
    <col min="5126" max="5376" width="9" style="43"/>
    <col min="5377" max="5377" width="7.625" style="43" customWidth="1"/>
    <col min="5378" max="5378" width="132" style="43" customWidth="1"/>
    <col min="5379" max="5379" width="14.875" style="43" customWidth="1"/>
    <col min="5380" max="5380" width="9" style="43"/>
    <col min="5381" max="5381" width="12.25" style="43" bestFit="1" customWidth="1"/>
    <col min="5382" max="5632" width="9" style="43"/>
    <col min="5633" max="5633" width="7.625" style="43" customWidth="1"/>
    <col min="5634" max="5634" width="132" style="43" customWidth="1"/>
    <col min="5635" max="5635" width="14.875" style="43" customWidth="1"/>
    <col min="5636" max="5636" width="9" style="43"/>
    <col min="5637" max="5637" width="12.25" style="43" bestFit="1" customWidth="1"/>
    <col min="5638" max="5888" width="9" style="43"/>
    <col min="5889" max="5889" width="7.625" style="43" customWidth="1"/>
    <col min="5890" max="5890" width="132" style="43" customWidth="1"/>
    <col min="5891" max="5891" width="14.875" style="43" customWidth="1"/>
    <col min="5892" max="5892" width="9" style="43"/>
    <col min="5893" max="5893" width="12.25" style="43" bestFit="1" customWidth="1"/>
    <col min="5894" max="6144" width="9" style="43"/>
    <col min="6145" max="6145" width="7.625" style="43" customWidth="1"/>
    <col min="6146" max="6146" width="132" style="43" customWidth="1"/>
    <col min="6147" max="6147" width="14.875" style="43" customWidth="1"/>
    <col min="6148" max="6148" width="9" style="43"/>
    <col min="6149" max="6149" width="12.25" style="43" bestFit="1" customWidth="1"/>
    <col min="6150" max="6400" width="9" style="43"/>
    <col min="6401" max="6401" width="7.625" style="43" customWidth="1"/>
    <col min="6402" max="6402" width="132" style="43" customWidth="1"/>
    <col min="6403" max="6403" width="14.875" style="43" customWidth="1"/>
    <col min="6404" max="6404" width="9" style="43"/>
    <col min="6405" max="6405" width="12.25" style="43" bestFit="1" customWidth="1"/>
    <col min="6406" max="6656" width="9" style="43"/>
    <col min="6657" max="6657" width="7.625" style="43" customWidth="1"/>
    <col min="6658" max="6658" width="132" style="43" customWidth="1"/>
    <col min="6659" max="6659" width="14.875" style="43" customWidth="1"/>
    <col min="6660" max="6660" width="9" style="43"/>
    <col min="6661" max="6661" width="12.25" style="43" bestFit="1" customWidth="1"/>
    <col min="6662" max="6912" width="9" style="43"/>
    <col min="6913" max="6913" width="7.625" style="43" customWidth="1"/>
    <col min="6914" max="6914" width="132" style="43" customWidth="1"/>
    <col min="6915" max="6915" width="14.875" style="43" customWidth="1"/>
    <col min="6916" max="6916" width="9" style="43"/>
    <col min="6917" max="6917" width="12.25" style="43" bestFit="1" customWidth="1"/>
    <col min="6918" max="7168" width="9" style="43"/>
    <col min="7169" max="7169" width="7.625" style="43" customWidth="1"/>
    <col min="7170" max="7170" width="132" style="43" customWidth="1"/>
    <col min="7171" max="7171" width="14.875" style="43" customWidth="1"/>
    <col min="7172" max="7172" width="9" style="43"/>
    <col min="7173" max="7173" width="12.25" style="43" bestFit="1" customWidth="1"/>
    <col min="7174" max="7424" width="9" style="43"/>
    <col min="7425" max="7425" width="7.625" style="43" customWidth="1"/>
    <col min="7426" max="7426" width="132" style="43" customWidth="1"/>
    <col min="7427" max="7427" width="14.875" style="43" customWidth="1"/>
    <col min="7428" max="7428" width="9" style="43"/>
    <col min="7429" max="7429" width="12.25" style="43" bestFit="1" customWidth="1"/>
    <col min="7430" max="7680" width="9" style="43"/>
    <col min="7681" max="7681" width="7.625" style="43" customWidth="1"/>
    <col min="7682" max="7682" width="132" style="43" customWidth="1"/>
    <col min="7683" max="7683" width="14.875" style="43" customWidth="1"/>
    <col min="7684" max="7684" width="9" style="43"/>
    <col min="7685" max="7685" width="12.25" style="43" bestFit="1" customWidth="1"/>
    <col min="7686" max="7936" width="9" style="43"/>
    <col min="7937" max="7937" width="7.625" style="43" customWidth="1"/>
    <col min="7938" max="7938" width="132" style="43" customWidth="1"/>
    <col min="7939" max="7939" width="14.875" style="43" customWidth="1"/>
    <col min="7940" max="7940" width="9" style="43"/>
    <col min="7941" max="7941" width="12.25" style="43" bestFit="1" customWidth="1"/>
    <col min="7942" max="8192" width="9" style="43"/>
    <col min="8193" max="8193" width="7.625" style="43" customWidth="1"/>
    <col min="8194" max="8194" width="132" style="43" customWidth="1"/>
    <col min="8195" max="8195" width="14.875" style="43" customWidth="1"/>
    <col min="8196" max="8196" width="9" style="43"/>
    <col min="8197" max="8197" width="12.25" style="43" bestFit="1" customWidth="1"/>
    <col min="8198" max="8448" width="9" style="43"/>
    <col min="8449" max="8449" width="7.625" style="43" customWidth="1"/>
    <col min="8450" max="8450" width="132" style="43" customWidth="1"/>
    <col min="8451" max="8451" width="14.875" style="43" customWidth="1"/>
    <col min="8452" max="8452" width="9" style="43"/>
    <col min="8453" max="8453" width="12.25" style="43" bestFit="1" customWidth="1"/>
    <col min="8454" max="8704" width="9" style="43"/>
    <col min="8705" max="8705" width="7.625" style="43" customWidth="1"/>
    <col min="8706" max="8706" width="132" style="43" customWidth="1"/>
    <col min="8707" max="8707" width="14.875" style="43" customWidth="1"/>
    <col min="8708" max="8708" width="9" style="43"/>
    <col min="8709" max="8709" width="12.25" style="43" bestFit="1" customWidth="1"/>
    <col min="8710" max="8960" width="9" style="43"/>
    <col min="8961" max="8961" width="7.625" style="43" customWidth="1"/>
    <col min="8962" max="8962" width="132" style="43" customWidth="1"/>
    <col min="8963" max="8963" width="14.875" style="43" customWidth="1"/>
    <col min="8964" max="8964" width="9" style="43"/>
    <col min="8965" max="8965" width="12.25" style="43" bestFit="1" customWidth="1"/>
    <col min="8966" max="9216" width="9" style="43"/>
    <col min="9217" max="9217" width="7.625" style="43" customWidth="1"/>
    <col min="9218" max="9218" width="132" style="43" customWidth="1"/>
    <col min="9219" max="9219" width="14.875" style="43" customWidth="1"/>
    <col min="9220" max="9220" width="9" style="43"/>
    <col min="9221" max="9221" width="12.25" style="43" bestFit="1" customWidth="1"/>
    <col min="9222" max="9472" width="9" style="43"/>
    <col min="9473" max="9473" width="7.625" style="43" customWidth="1"/>
    <col min="9474" max="9474" width="132" style="43" customWidth="1"/>
    <col min="9475" max="9475" width="14.875" style="43" customWidth="1"/>
    <col min="9476" max="9476" width="9" style="43"/>
    <col min="9477" max="9477" width="12.25" style="43" bestFit="1" customWidth="1"/>
    <col min="9478" max="9728" width="9" style="43"/>
    <col min="9729" max="9729" width="7.625" style="43" customWidth="1"/>
    <col min="9730" max="9730" width="132" style="43" customWidth="1"/>
    <col min="9731" max="9731" width="14.875" style="43" customWidth="1"/>
    <col min="9732" max="9732" width="9" style="43"/>
    <col min="9733" max="9733" width="12.25" style="43" bestFit="1" customWidth="1"/>
    <col min="9734" max="9984" width="9" style="43"/>
    <col min="9985" max="9985" width="7.625" style="43" customWidth="1"/>
    <col min="9986" max="9986" width="132" style="43" customWidth="1"/>
    <col min="9987" max="9987" width="14.875" style="43" customWidth="1"/>
    <col min="9988" max="9988" width="9" style="43"/>
    <col min="9989" max="9989" width="12.25" style="43" bestFit="1" customWidth="1"/>
    <col min="9990" max="10240" width="9" style="43"/>
    <col min="10241" max="10241" width="7.625" style="43" customWidth="1"/>
    <col min="10242" max="10242" width="132" style="43" customWidth="1"/>
    <col min="10243" max="10243" width="14.875" style="43" customWidth="1"/>
    <col min="10244" max="10244" width="9" style="43"/>
    <col min="10245" max="10245" width="12.25" style="43" bestFit="1" customWidth="1"/>
    <col min="10246" max="10496" width="9" style="43"/>
    <col min="10497" max="10497" width="7.625" style="43" customWidth="1"/>
    <col min="10498" max="10498" width="132" style="43" customWidth="1"/>
    <col min="10499" max="10499" width="14.875" style="43" customWidth="1"/>
    <col min="10500" max="10500" width="9" style="43"/>
    <col min="10501" max="10501" width="12.25" style="43" bestFit="1" customWidth="1"/>
    <col min="10502" max="10752" width="9" style="43"/>
    <col min="10753" max="10753" width="7.625" style="43" customWidth="1"/>
    <col min="10754" max="10754" width="132" style="43" customWidth="1"/>
    <col min="10755" max="10755" width="14.875" style="43" customWidth="1"/>
    <col min="10756" max="10756" width="9" style="43"/>
    <col min="10757" max="10757" width="12.25" style="43" bestFit="1" customWidth="1"/>
    <col min="10758" max="11008" width="9" style="43"/>
    <col min="11009" max="11009" width="7.625" style="43" customWidth="1"/>
    <col min="11010" max="11010" width="132" style="43" customWidth="1"/>
    <col min="11011" max="11011" width="14.875" style="43" customWidth="1"/>
    <col min="11012" max="11012" width="9" style="43"/>
    <col min="11013" max="11013" width="12.25" style="43" bestFit="1" customWidth="1"/>
    <col min="11014" max="11264" width="9" style="43"/>
    <col min="11265" max="11265" width="7.625" style="43" customWidth="1"/>
    <col min="11266" max="11266" width="132" style="43" customWidth="1"/>
    <col min="11267" max="11267" width="14.875" style="43" customWidth="1"/>
    <col min="11268" max="11268" width="9" style="43"/>
    <col min="11269" max="11269" width="12.25" style="43" bestFit="1" customWidth="1"/>
    <col min="11270" max="11520" width="9" style="43"/>
    <col min="11521" max="11521" width="7.625" style="43" customWidth="1"/>
    <col min="11522" max="11522" width="132" style="43" customWidth="1"/>
    <col min="11523" max="11523" width="14.875" style="43" customWidth="1"/>
    <col min="11524" max="11524" width="9" style="43"/>
    <col min="11525" max="11525" width="12.25" style="43" bestFit="1" customWidth="1"/>
    <col min="11526" max="11776" width="9" style="43"/>
    <col min="11777" max="11777" width="7.625" style="43" customWidth="1"/>
    <col min="11778" max="11778" width="132" style="43" customWidth="1"/>
    <col min="11779" max="11779" width="14.875" style="43" customWidth="1"/>
    <col min="11780" max="11780" width="9" style="43"/>
    <col min="11781" max="11781" width="12.25" style="43" bestFit="1" customWidth="1"/>
    <col min="11782" max="12032" width="9" style="43"/>
    <col min="12033" max="12033" width="7.625" style="43" customWidth="1"/>
    <col min="12034" max="12034" width="132" style="43" customWidth="1"/>
    <col min="12035" max="12035" width="14.875" style="43" customWidth="1"/>
    <col min="12036" max="12036" width="9" style="43"/>
    <col min="12037" max="12037" width="12.25" style="43" bestFit="1" customWidth="1"/>
    <col min="12038" max="12288" width="9" style="43"/>
    <col min="12289" max="12289" width="7.625" style="43" customWidth="1"/>
    <col min="12290" max="12290" width="132" style="43" customWidth="1"/>
    <col min="12291" max="12291" width="14.875" style="43" customWidth="1"/>
    <col min="12292" max="12292" width="9" style="43"/>
    <col min="12293" max="12293" width="12.25" style="43" bestFit="1" customWidth="1"/>
    <col min="12294" max="12544" width="9" style="43"/>
    <col min="12545" max="12545" width="7.625" style="43" customWidth="1"/>
    <col min="12546" max="12546" width="132" style="43" customWidth="1"/>
    <col min="12547" max="12547" width="14.875" style="43" customWidth="1"/>
    <col min="12548" max="12548" width="9" style="43"/>
    <col min="12549" max="12549" width="12.25" style="43" bestFit="1" customWidth="1"/>
    <col min="12550" max="12800" width="9" style="43"/>
    <col min="12801" max="12801" width="7.625" style="43" customWidth="1"/>
    <col min="12802" max="12802" width="132" style="43" customWidth="1"/>
    <col min="12803" max="12803" width="14.875" style="43" customWidth="1"/>
    <col min="12804" max="12804" width="9" style="43"/>
    <col min="12805" max="12805" width="12.25" style="43" bestFit="1" customWidth="1"/>
    <col min="12806" max="13056" width="9" style="43"/>
    <col min="13057" max="13057" width="7.625" style="43" customWidth="1"/>
    <col min="13058" max="13058" width="132" style="43" customWidth="1"/>
    <col min="13059" max="13059" width="14.875" style="43" customWidth="1"/>
    <col min="13060" max="13060" width="9" style="43"/>
    <col min="13061" max="13061" width="12.25" style="43" bestFit="1" customWidth="1"/>
    <col min="13062" max="13312" width="9" style="43"/>
    <col min="13313" max="13313" width="7.625" style="43" customWidth="1"/>
    <col min="13314" max="13314" width="132" style="43" customWidth="1"/>
    <col min="13315" max="13315" width="14.875" style="43" customWidth="1"/>
    <col min="13316" max="13316" width="9" style="43"/>
    <col min="13317" max="13317" width="12.25" style="43" bestFit="1" customWidth="1"/>
    <col min="13318" max="13568" width="9" style="43"/>
    <col min="13569" max="13569" width="7.625" style="43" customWidth="1"/>
    <col min="13570" max="13570" width="132" style="43" customWidth="1"/>
    <col min="13571" max="13571" width="14.875" style="43" customWidth="1"/>
    <col min="13572" max="13572" width="9" style="43"/>
    <col min="13573" max="13573" width="12.25" style="43" bestFit="1" customWidth="1"/>
    <col min="13574" max="13824" width="9" style="43"/>
    <col min="13825" max="13825" width="7.625" style="43" customWidth="1"/>
    <col min="13826" max="13826" width="132" style="43" customWidth="1"/>
    <col min="13827" max="13827" width="14.875" style="43" customWidth="1"/>
    <col min="13828" max="13828" width="9" style="43"/>
    <col min="13829" max="13829" width="12.25" style="43" bestFit="1" customWidth="1"/>
    <col min="13830" max="14080" width="9" style="43"/>
    <col min="14081" max="14081" width="7.625" style="43" customWidth="1"/>
    <col min="14082" max="14082" width="132" style="43" customWidth="1"/>
    <col min="14083" max="14083" width="14.875" style="43" customWidth="1"/>
    <col min="14084" max="14084" width="9" style="43"/>
    <col min="14085" max="14085" width="12.25" style="43" bestFit="1" customWidth="1"/>
    <col min="14086" max="14336" width="9" style="43"/>
    <col min="14337" max="14337" width="7.625" style="43" customWidth="1"/>
    <col min="14338" max="14338" width="132" style="43" customWidth="1"/>
    <col min="14339" max="14339" width="14.875" style="43" customWidth="1"/>
    <col min="14340" max="14340" width="9" style="43"/>
    <col min="14341" max="14341" width="12.25" style="43" bestFit="1" customWidth="1"/>
    <col min="14342" max="14592" width="9" style="43"/>
    <col min="14593" max="14593" width="7.625" style="43" customWidth="1"/>
    <col min="14594" max="14594" width="132" style="43" customWidth="1"/>
    <col min="14595" max="14595" width="14.875" style="43" customWidth="1"/>
    <col min="14596" max="14596" width="9" style="43"/>
    <col min="14597" max="14597" width="12.25" style="43" bestFit="1" customWidth="1"/>
    <col min="14598" max="14848" width="9" style="43"/>
    <col min="14849" max="14849" width="7.625" style="43" customWidth="1"/>
    <col min="14850" max="14850" width="132" style="43" customWidth="1"/>
    <col min="14851" max="14851" width="14.875" style="43" customWidth="1"/>
    <col min="14852" max="14852" width="9" style="43"/>
    <col min="14853" max="14853" width="12.25" style="43" bestFit="1" customWidth="1"/>
    <col min="14854" max="15104" width="9" style="43"/>
    <col min="15105" max="15105" width="7.625" style="43" customWidth="1"/>
    <col min="15106" max="15106" width="132" style="43" customWidth="1"/>
    <col min="15107" max="15107" width="14.875" style="43" customWidth="1"/>
    <col min="15108" max="15108" width="9" style="43"/>
    <col min="15109" max="15109" width="12.25" style="43" bestFit="1" customWidth="1"/>
    <col min="15110" max="15360" width="9" style="43"/>
    <col min="15361" max="15361" width="7.625" style="43" customWidth="1"/>
    <col min="15362" max="15362" width="132" style="43" customWidth="1"/>
    <col min="15363" max="15363" width="14.875" style="43" customWidth="1"/>
    <col min="15364" max="15364" width="9" style="43"/>
    <col min="15365" max="15365" width="12.25" style="43" bestFit="1" customWidth="1"/>
    <col min="15366" max="15616" width="9" style="43"/>
    <col min="15617" max="15617" width="7.625" style="43" customWidth="1"/>
    <col min="15618" max="15618" width="132" style="43" customWidth="1"/>
    <col min="15619" max="15619" width="14.875" style="43" customWidth="1"/>
    <col min="15620" max="15620" width="9" style="43"/>
    <col min="15621" max="15621" width="12.25" style="43" bestFit="1" customWidth="1"/>
    <col min="15622" max="15872" width="9" style="43"/>
    <col min="15873" max="15873" width="7.625" style="43" customWidth="1"/>
    <col min="15874" max="15874" width="132" style="43" customWidth="1"/>
    <col min="15875" max="15875" width="14.875" style="43" customWidth="1"/>
    <col min="15876" max="15876" width="9" style="43"/>
    <col min="15877" max="15877" width="12.25" style="43" bestFit="1" customWidth="1"/>
    <col min="15878" max="16128" width="9" style="43"/>
    <col min="16129" max="16129" width="7.625" style="43" customWidth="1"/>
    <col min="16130" max="16130" width="132" style="43" customWidth="1"/>
    <col min="16131" max="16131" width="14.875" style="43" customWidth="1"/>
    <col min="16132" max="16132" width="9" style="43"/>
    <col min="16133" max="16133" width="12.25" style="43" bestFit="1" customWidth="1"/>
    <col min="16134" max="16384" width="9" style="43"/>
  </cols>
  <sheetData>
    <row r="1" spans="1:5" ht="22.5" customHeight="1" x14ac:dyDescent="0.5">
      <c r="A1" s="823" t="s">
        <v>16</v>
      </c>
      <c r="B1" s="823"/>
      <c r="C1" s="823"/>
    </row>
    <row r="2" spans="1:5" ht="65.25" hidden="1" x14ac:dyDescent="0.5">
      <c r="A2" s="147"/>
      <c r="B2" s="361" t="s">
        <v>1376</v>
      </c>
      <c r="C2" s="46"/>
    </row>
    <row r="3" spans="1:5" x14ac:dyDescent="0.5">
      <c r="A3" s="877" t="s">
        <v>421</v>
      </c>
      <c r="B3" s="877"/>
      <c r="C3" s="877"/>
    </row>
    <row r="4" spans="1:5" ht="22.5" thickBot="1" x14ac:dyDescent="0.55000000000000004">
      <c r="A4" s="47"/>
      <c r="B4" s="47"/>
      <c r="C4" s="48"/>
    </row>
    <row r="5" spans="1:5" s="51" customFormat="1" ht="18.75" x14ac:dyDescent="0.3">
      <c r="A5" s="49"/>
      <c r="B5" s="49" t="s">
        <v>17</v>
      </c>
      <c r="C5" s="50" t="s">
        <v>18</v>
      </c>
      <c r="E5" s="52"/>
    </row>
    <row r="6" spans="1:5" ht="60" thickBot="1" x14ac:dyDescent="0.55000000000000004">
      <c r="A6" s="53"/>
      <c r="B6" s="54" t="s">
        <v>1377</v>
      </c>
      <c r="C6" s="55" t="s">
        <v>19</v>
      </c>
    </row>
    <row r="7" spans="1:5" ht="22.5" thickBot="1" x14ac:dyDescent="0.55000000000000004">
      <c r="A7" s="362">
        <v>1</v>
      </c>
      <c r="B7" s="85" t="s">
        <v>72</v>
      </c>
      <c r="C7" s="363">
        <f>SUM(C8:C14)</f>
        <v>3640000</v>
      </c>
    </row>
    <row r="8" spans="1:5" x14ac:dyDescent="0.5">
      <c r="A8" s="53"/>
      <c r="B8" s="364" t="s">
        <v>423</v>
      </c>
      <c r="C8" s="365">
        <v>640000</v>
      </c>
    </row>
    <row r="9" spans="1:5" x14ac:dyDescent="0.5">
      <c r="A9" s="53"/>
      <c r="B9" s="366" t="s">
        <v>424</v>
      </c>
      <c r="C9" s="64">
        <v>600000</v>
      </c>
    </row>
    <row r="10" spans="1:5" x14ac:dyDescent="0.5">
      <c r="A10" s="53"/>
      <c r="B10" s="366" t="s">
        <v>425</v>
      </c>
      <c r="C10" s="64">
        <v>300000</v>
      </c>
    </row>
    <row r="11" spans="1:5" x14ac:dyDescent="0.5">
      <c r="A11" s="53"/>
      <c r="B11" s="366" t="s">
        <v>426</v>
      </c>
      <c r="C11" s="64">
        <v>300000</v>
      </c>
    </row>
    <row r="12" spans="1:5" x14ac:dyDescent="0.5">
      <c r="A12" s="53"/>
      <c r="B12" s="366" t="s">
        <v>427</v>
      </c>
      <c r="C12" s="64">
        <v>300000</v>
      </c>
    </row>
    <row r="13" spans="1:5" x14ac:dyDescent="0.5">
      <c r="A13" s="53"/>
      <c r="B13" s="366" t="s">
        <v>428</v>
      </c>
      <c r="C13" s="64">
        <v>300000</v>
      </c>
    </row>
    <row r="14" spans="1:5" ht="22.5" thickBot="1" x14ac:dyDescent="0.55000000000000004">
      <c r="A14" s="53"/>
      <c r="B14" s="366" t="s">
        <v>429</v>
      </c>
      <c r="C14" s="67">
        <v>1200000</v>
      </c>
    </row>
    <row r="15" spans="1:5" s="70" customFormat="1" ht="26.25" customHeight="1" thickBot="1" x14ac:dyDescent="0.55000000000000004">
      <c r="A15" s="362">
        <v>2</v>
      </c>
      <c r="B15" s="85" t="s">
        <v>79</v>
      </c>
      <c r="C15" s="367">
        <f>SUM(C16:C18)</f>
        <v>990000</v>
      </c>
    </row>
    <row r="16" spans="1:5" s="70" customFormat="1" ht="26.25" customHeight="1" x14ac:dyDescent="0.5">
      <c r="A16" s="878"/>
      <c r="B16" s="368" t="s">
        <v>430</v>
      </c>
      <c r="C16" s="101">
        <v>540000</v>
      </c>
    </row>
    <row r="17" spans="1:3" s="70" customFormat="1" ht="26.25" customHeight="1" x14ac:dyDescent="0.5">
      <c r="A17" s="879"/>
      <c r="B17" s="368" t="s">
        <v>431</v>
      </c>
      <c r="C17" s="64">
        <v>270000</v>
      </c>
    </row>
    <row r="18" spans="1:3" s="70" customFormat="1" ht="26.25" customHeight="1" thickBot="1" x14ac:dyDescent="0.55000000000000004">
      <c r="A18" s="880"/>
      <c r="B18" s="368" t="s">
        <v>432</v>
      </c>
      <c r="C18" s="369">
        <v>180000</v>
      </c>
    </row>
    <row r="19" spans="1:3" s="70" customFormat="1" ht="26.25" customHeight="1" thickBot="1" x14ac:dyDescent="0.45">
      <c r="A19" s="362">
        <v>3</v>
      </c>
      <c r="B19" s="85" t="s">
        <v>81</v>
      </c>
      <c r="C19" s="370"/>
    </row>
    <row r="20" spans="1:3" s="70" customFormat="1" ht="47.25" customHeight="1" thickBot="1" x14ac:dyDescent="0.45">
      <c r="A20" s="362">
        <v>3.1</v>
      </c>
      <c r="B20" s="111" t="s">
        <v>433</v>
      </c>
      <c r="C20" s="371">
        <f>SUM(C21:C26)</f>
        <v>1075200</v>
      </c>
    </row>
    <row r="21" spans="1:3" s="82" customFormat="1" ht="23.25" customHeight="1" x14ac:dyDescent="0.2">
      <c r="A21" s="79"/>
      <c r="B21" s="90" t="s">
        <v>434</v>
      </c>
      <c r="C21" s="372">
        <v>115200</v>
      </c>
    </row>
    <row r="22" spans="1:3" s="82" customFormat="1" ht="23.25" customHeight="1" x14ac:dyDescent="0.2">
      <c r="A22" s="79"/>
      <c r="B22" s="83" t="s">
        <v>435</v>
      </c>
      <c r="C22" s="87">
        <v>600000</v>
      </c>
    </row>
    <row r="23" spans="1:3" s="82" customFormat="1" ht="23.25" customHeight="1" x14ac:dyDescent="0.2">
      <c r="A23" s="79"/>
      <c r="B23" s="83" t="s">
        <v>436</v>
      </c>
      <c r="C23" s="87">
        <v>30000</v>
      </c>
    </row>
    <row r="24" spans="1:3" s="82" customFormat="1" ht="23.25" customHeight="1" x14ac:dyDescent="0.2">
      <c r="A24" s="79"/>
      <c r="B24" s="108" t="s">
        <v>437</v>
      </c>
      <c r="C24" s="87"/>
    </row>
    <row r="25" spans="1:3" s="82" customFormat="1" ht="23.25" customHeight="1" x14ac:dyDescent="0.2">
      <c r="A25" s="79"/>
      <c r="B25" s="90" t="s">
        <v>438</v>
      </c>
      <c r="C25" s="87">
        <v>300000</v>
      </c>
    </row>
    <row r="26" spans="1:3" s="82" customFormat="1" ht="23.25" customHeight="1" thickBot="1" x14ac:dyDescent="0.25">
      <c r="A26" s="79"/>
      <c r="B26" s="373" t="s">
        <v>439</v>
      </c>
      <c r="C26" s="87">
        <v>30000</v>
      </c>
    </row>
    <row r="27" spans="1:3" s="89" customFormat="1" ht="42" customHeight="1" thickBot="1" x14ac:dyDescent="0.35">
      <c r="A27" s="362">
        <v>3.2</v>
      </c>
      <c r="B27" s="111" t="s">
        <v>440</v>
      </c>
      <c r="C27" s="374">
        <f>SUM(C28:C32)</f>
        <v>4767600</v>
      </c>
    </row>
    <row r="28" spans="1:3" s="82" customFormat="1" ht="23.25" customHeight="1" x14ac:dyDescent="0.2">
      <c r="A28" s="79"/>
      <c r="B28" s="90" t="s">
        <v>441</v>
      </c>
      <c r="C28" s="87">
        <v>345600</v>
      </c>
    </row>
    <row r="29" spans="1:3" s="82" customFormat="1" ht="23.25" customHeight="1" x14ac:dyDescent="0.5">
      <c r="A29" s="79"/>
      <c r="B29" s="80" t="s">
        <v>442</v>
      </c>
      <c r="C29" s="88">
        <v>1800000</v>
      </c>
    </row>
    <row r="30" spans="1:3" s="82" customFormat="1" ht="23.25" customHeight="1" x14ac:dyDescent="0.2">
      <c r="A30" s="79"/>
      <c r="B30" s="375" t="s">
        <v>443</v>
      </c>
      <c r="C30" s="93">
        <v>1152000</v>
      </c>
    </row>
    <row r="31" spans="1:3" s="82" customFormat="1" ht="23.25" customHeight="1" x14ac:dyDescent="0.2">
      <c r="A31" s="79"/>
      <c r="B31" s="94" t="s">
        <v>444</v>
      </c>
      <c r="C31" s="87">
        <v>1440000</v>
      </c>
    </row>
    <row r="32" spans="1:3" s="82" customFormat="1" ht="23.25" customHeight="1" thickBot="1" x14ac:dyDescent="0.25">
      <c r="A32" s="79"/>
      <c r="B32" s="95" t="s">
        <v>445</v>
      </c>
      <c r="C32" s="87">
        <v>30000</v>
      </c>
    </row>
    <row r="33" spans="1:4" s="70" customFormat="1" ht="21" thickBot="1" x14ac:dyDescent="0.45">
      <c r="A33" s="362">
        <v>3.3</v>
      </c>
      <c r="B33" s="85" t="s">
        <v>446</v>
      </c>
      <c r="C33" s="374">
        <f>SUM(C34:C38)</f>
        <v>284800</v>
      </c>
      <c r="D33" s="98"/>
    </row>
    <row r="34" spans="1:4" s="70" customFormat="1" x14ac:dyDescent="0.5">
      <c r="A34" s="102"/>
      <c r="B34" s="90" t="s">
        <v>447</v>
      </c>
      <c r="C34" s="87">
        <v>28800</v>
      </c>
    </row>
    <row r="35" spans="1:4" s="70" customFormat="1" x14ac:dyDescent="0.5">
      <c r="A35" s="102"/>
      <c r="B35" s="80" t="s">
        <v>448</v>
      </c>
      <c r="C35" s="88">
        <v>150000</v>
      </c>
    </row>
    <row r="36" spans="1:4" s="70" customFormat="1" x14ac:dyDescent="0.5">
      <c r="A36" s="102"/>
      <c r="B36" s="80" t="s">
        <v>449</v>
      </c>
      <c r="C36" s="88">
        <v>96000</v>
      </c>
    </row>
    <row r="37" spans="1:4" s="70" customFormat="1" x14ac:dyDescent="0.5">
      <c r="A37" s="102"/>
      <c r="B37" s="80" t="s">
        <v>450</v>
      </c>
      <c r="C37" s="88">
        <v>5000</v>
      </c>
    </row>
    <row r="38" spans="1:4" s="70" customFormat="1" ht="22.5" thickBot="1" x14ac:dyDescent="0.45">
      <c r="B38" s="80" t="s">
        <v>451</v>
      </c>
      <c r="C38" s="87">
        <v>5000</v>
      </c>
    </row>
    <row r="39" spans="1:4" ht="43.5" customHeight="1" thickBot="1" x14ac:dyDescent="0.55000000000000004">
      <c r="A39" s="362">
        <v>3.4</v>
      </c>
      <c r="B39" s="111" t="s">
        <v>452</v>
      </c>
      <c r="C39" s="374">
        <f>SUM(C40:C44)</f>
        <v>347200</v>
      </c>
    </row>
    <row r="40" spans="1:4" x14ac:dyDescent="0.5">
      <c r="B40" s="90" t="s">
        <v>453</v>
      </c>
      <c r="C40" s="87">
        <v>43200</v>
      </c>
    </row>
    <row r="41" spans="1:4" x14ac:dyDescent="0.5">
      <c r="B41" s="80" t="s">
        <v>448</v>
      </c>
      <c r="C41" s="88">
        <v>150000</v>
      </c>
    </row>
    <row r="42" spans="1:4" x14ac:dyDescent="0.5">
      <c r="B42" s="107" t="s">
        <v>454</v>
      </c>
      <c r="C42" s="87">
        <v>144000</v>
      </c>
    </row>
    <row r="43" spans="1:4" x14ac:dyDescent="0.5">
      <c r="B43" s="108" t="s">
        <v>450</v>
      </c>
      <c r="C43" s="87">
        <v>5000</v>
      </c>
    </row>
    <row r="44" spans="1:4" ht="22.5" thickBot="1" x14ac:dyDescent="0.55000000000000004">
      <c r="B44" s="80" t="s">
        <v>451</v>
      </c>
      <c r="C44" s="87">
        <v>5000</v>
      </c>
    </row>
    <row r="45" spans="1:4" s="378" customFormat="1" ht="42" customHeight="1" thickBot="1" x14ac:dyDescent="0.55000000000000004">
      <c r="A45" s="376">
        <v>3.5</v>
      </c>
      <c r="B45" s="111" t="s">
        <v>455</v>
      </c>
      <c r="C45" s="377">
        <f>SUM(C46:C52)</f>
        <v>496600</v>
      </c>
    </row>
    <row r="46" spans="1:4" x14ac:dyDescent="0.5">
      <c r="B46" s="107" t="s">
        <v>456</v>
      </c>
      <c r="C46" s="87">
        <v>200000</v>
      </c>
    </row>
    <row r="47" spans="1:4" x14ac:dyDescent="0.5">
      <c r="B47" s="108" t="s">
        <v>457</v>
      </c>
      <c r="C47" s="87">
        <v>20000</v>
      </c>
    </row>
    <row r="48" spans="1:4" x14ac:dyDescent="0.5">
      <c r="B48" s="80" t="s">
        <v>458</v>
      </c>
      <c r="C48" s="87">
        <v>60000</v>
      </c>
    </row>
    <row r="49" spans="1:3" x14ac:dyDescent="0.5">
      <c r="B49" s="80" t="s">
        <v>459</v>
      </c>
      <c r="C49" s="87">
        <v>30000</v>
      </c>
    </row>
    <row r="50" spans="1:3" x14ac:dyDescent="0.5">
      <c r="B50" s="80" t="s">
        <v>460</v>
      </c>
      <c r="C50" s="87">
        <v>165000</v>
      </c>
    </row>
    <row r="51" spans="1:3" x14ac:dyDescent="0.5">
      <c r="B51" s="80" t="s">
        <v>461</v>
      </c>
      <c r="C51" s="87">
        <v>19200</v>
      </c>
    </row>
    <row r="52" spans="1:3" ht="22.5" thickBot="1" x14ac:dyDescent="0.55000000000000004">
      <c r="B52" s="90" t="s">
        <v>462</v>
      </c>
      <c r="C52" s="112">
        <v>2400</v>
      </c>
    </row>
    <row r="53" spans="1:3" ht="22.5" thickBot="1" x14ac:dyDescent="0.55000000000000004">
      <c r="A53" s="362">
        <v>3.6</v>
      </c>
      <c r="B53" s="113" t="s">
        <v>463</v>
      </c>
      <c r="C53" s="379">
        <f>SUM(C54:C60)</f>
        <v>15300</v>
      </c>
    </row>
    <row r="54" spans="1:3" x14ac:dyDescent="0.5">
      <c r="B54" s="80" t="s">
        <v>464</v>
      </c>
      <c r="C54" s="131">
        <v>2580</v>
      </c>
    </row>
    <row r="55" spans="1:3" x14ac:dyDescent="0.5">
      <c r="B55" s="108" t="s">
        <v>465</v>
      </c>
      <c r="C55" s="88">
        <v>2580</v>
      </c>
    </row>
    <row r="56" spans="1:3" x14ac:dyDescent="0.5">
      <c r="B56" s="80" t="s">
        <v>466</v>
      </c>
      <c r="C56" s="88">
        <v>2580</v>
      </c>
    </row>
    <row r="57" spans="1:3" x14ac:dyDescent="0.5">
      <c r="B57" s="105" t="s">
        <v>467</v>
      </c>
      <c r="C57" s="88">
        <v>2580</v>
      </c>
    </row>
    <row r="58" spans="1:3" x14ac:dyDescent="0.5">
      <c r="B58" s="105" t="s">
        <v>468</v>
      </c>
      <c r="C58" s="88">
        <v>2580</v>
      </c>
    </row>
    <row r="59" spans="1:3" x14ac:dyDescent="0.5">
      <c r="B59" s="108" t="s">
        <v>469</v>
      </c>
      <c r="C59" s="88">
        <v>1200</v>
      </c>
    </row>
    <row r="60" spans="1:3" x14ac:dyDescent="0.5">
      <c r="B60" s="83" t="s">
        <v>470</v>
      </c>
      <c r="C60" s="88">
        <v>1200</v>
      </c>
    </row>
    <row r="61" spans="1:3" ht="24" x14ac:dyDescent="0.55000000000000004">
      <c r="A61" s="380"/>
      <c r="B61" s="381" t="s">
        <v>2</v>
      </c>
      <c r="C61" s="382">
        <f>C7+C15+C20+C27+C33+C39+C45+C53</f>
        <v>11616700</v>
      </c>
    </row>
    <row r="62" spans="1:3" x14ac:dyDescent="0.5">
      <c r="A62" s="881" t="str">
        <f>BAHTTEXT(C61)</f>
        <v>สิบเอ็ดล้านหกแสนหนึ่งหมื่นหกพันเจ็ดร้อยบาทถ้วน</v>
      </c>
      <c r="B62" s="882"/>
      <c r="C62" s="883"/>
    </row>
  </sheetData>
  <mergeCells count="4">
    <mergeCell ref="A1:C1"/>
    <mergeCell ref="A3:C3"/>
    <mergeCell ref="A16:A18"/>
    <mergeCell ref="A62:C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1</vt:lpstr>
      <vt:lpstr>2.1</vt:lpstr>
      <vt:lpstr>2.2</vt:lpstr>
      <vt:lpstr>2.3</vt:lpstr>
      <vt:lpstr>2.4</vt:lpstr>
      <vt:lpstr>2.5</vt:lpstr>
      <vt:lpstr>3.1</vt:lpstr>
      <vt:lpstr>3.2</vt:lpstr>
      <vt:lpstr>3.3</vt:lpstr>
      <vt:lpstr>3.4</vt:lpstr>
      <vt:lpstr>3.5</vt:lpstr>
      <vt:lpstr>3.6</vt:lpstr>
      <vt:lpstr>4.2</vt:lpstr>
      <vt:lpstr>4.3</vt:lpstr>
      <vt:lpstr>4.4.1</vt:lpstr>
      <vt:lpstr>4.4.2</vt:lpstr>
      <vt:lpstr>4.5.4</vt:lpstr>
      <vt:lpstr>5.1.1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dell</cp:lastModifiedBy>
  <cp:lastPrinted>2018-02-08T08:29:08Z</cp:lastPrinted>
  <dcterms:created xsi:type="dcterms:W3CDTF">2017-01-26T07:25:22Z</dcterms:created>
  <dcterms:modified xsi:type="dcterms:W3CDTF">2018-04-18T04:07:14Z</dcterms:modified>
</cp:coreProperties>
</file>