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จาก HP 16 ตค 60\งาน สบย\งานแอน\งานกลุ่มนโยบายและแผน\การจัดทำงบประมาณปี 2562\ปรับลดวงเงิน 10 เม.ย.61\แบบฟอร์มลงเว็บ ข้อมูลประกอบวาระ 1 17 เม.ย.61\"/>
    </mc:Choice>
  </mc:AlternateContent>
  <xr:revisionPtr revIDLastSave="0" documentId="12_ncr:500000_{92206CC8-4416-438D-A9C0-B7493DFAC85E}" xr6:coauthVersionLast="31" xr6:coauthVersionMax="31" xr10:uidLastSave="{00000000-0000-0000-0000-000000000000}"/>
  <bookViews>
    <workbookView xWindow="0" yWindow="0" windowWidth="28800" windowHeight="12225" tabRatio="876" activeTab="18" xr2:uid="{00000000-000D-0000-FFFF-FFFF00000000}"/>
  </bookViews>
  <sheets>
    <sheet name="1" sheetId="1" r:id="rId1"/>
    <sheet name="2.1" sheetId="3" r:id="rId2"/>
    <sheet name="2.2" sheetId="4" r:id="rId3"/>
    <sheet name="2.3" sheetId="5" r:id="rId4"/>
    <sheet name="2.4" sheetId="6" r:id="rId5"/>
    <sheet name="2.5" sheetId="7" r:id="rId6"/>
    <sheet name="3.1" sheetId="8" r:id="rId7"/>
    <sheet name="3.2" sheetId="9" r:id="rId8"/>
    <sheet name="3.3" sheetId="10" r:id="rId9"/>
    <sheet name="3.4" sheetId="11" r:id="rId10"/>
    <sheet name="3.5" sheetId="12" r:id="rId11"/>
    <sheet name="3.6" sheetId="13" r:id="rId12"/>
    <sheet name="4.2" sheetId="18" r:id="rId13"/>
    <sheet name="4.3" sheetId="19" r:id="rId14"/>
    <sheet name="4.4.1" sheetId="20" r:id="rId15"/>
    <sheet name="4.4.2" sheetId="21" r:id="rId16"/>
    <sheet name="4.5.4" sheetId="43" r:id="rId17"/>
    <sheet name="4.6" sheetId="45" r:id="rId18"/>
    <sheet name="5.1.1" sheetId="22" r:id="rId19"/>
  </sheets>
  <definedNames>
    <definedName name="________________________end001">#REF!</definedName>
    <definedName name="______________________end001">#REF!</definedName>
    <definedName name="_____________________end001">#REF!</definedName>
    <definedName name="____________________ddd1">#REF!</definedName>
    <definedName name="____________________ddd10">#REF!</definedName>
    <definedName name="____________________ddd11">#REF!</definedName>
    <definedName name="____________________ddd12">#REF!</definedName>
    <definedName name="____________________ddd15">#REF!</definedName>
    <definedName name="____________________ddd2">#REF!</definedName>
    <definedName name="____________________ddd22">#REF!</definedName>
    <definedName name="____________________ddd23">#REF!</definedName>
    <definedName name="____________________ddd3">#REF!</definedName>
    <definedName name="____________________ddd5">#REF!</definedName>
    <definedName name="____________________ddd6">#REF!</definedName>
    <definedName name="____________________ddd8">#REF!</definedName>
    <definedName name="____________________ddd9">#REF!</definedName>
    <definedName name="____________________end001">#REF!</definedName>
    <definedName name="____________________end01">#REF!</definedName>
    <definedName name="___________________ddd1">#REF!</definedName>
    <definedName name="___________________ddd10">#REF!</definedName>
    <definedName name="___________________ddd11">#REF!</definedName>
    <definedName name="___________________ddd12">#REF!</definedName>
    <definedName name="___________________ddd15">#REF!</definedName>
    <definedName name="___________________ddd2">#REF!</definedName>
    <definedName name="___________________ddd22">#REF!</definedName>
    <definedName name="___________________ddd23">#REF!</definedName>
    <definedName name="___________________ddd3">#REF!</definedName>
    <definedName name="___________________ddd5">#REF!</definedName>
    <definedName name="___________________ddd6">#REF!</definedName>
    <definedName name="___________________ddd8">#REF!</definedName>
    <definedName name="___________________ddd9">#REF!</definedName>
    <definedName name="___________________end001">#REF!</definedName>
    <definedName name="___________________end01">#REF!</definedName>
    <definedName name="__________________ddd1">#REF!</definedName>
    <definedName name="__________________ddd10">#REF!</definedName>
    <definedName name="__________________ddd11">#REF!</definedName>
    <definedName name="__________________ddd12">#REF!</definedName>
    <definedName name="__________________ddd15">#REF!</definedName>
    <definedName name="__________________ddd2">#REF!</definedName>
    <definedName name="__________________ddd22">#REF!</definedName>
    <definedName name="__________________ddd23">#REF!</definedName>
    <definedName name="__________________ddd3">#REF!</definedName>
    <definedName name="__________________ddd5">#REF!</definedName>
    <definedName name="__________________ddd6">#REF!</definedName>
    <definedName name="__________________ddd8">#REF!</definedName>
    <definedName name="__________________ddd9">#REF!</definedName>
    <definedName name="__________________end001">#REF!</definedName>
    <definedName name="__________________end01">#REF!</definedName>
    <definedName name="_________________ddd1">#REF!</definedName>
    <definedName name="_________________ddd10">#REF!</definedName>
    <definedName name="_________________ddd11">#REF!</definedName>
    <definedName name="_________________ddd12">#REF!</definedName>
    <definedName name="_________________ddd15">#REF!</definedName>
    <definedName name="_________________ddd2">#REF!</definedName>
    <definedName name="_________________ddd22">#REF!</definedName>
    <definedName name="_________________ddd23">#REF!</definedName>
    <definedName name="_________________ddd3">#REF!</definedName>
    <definedName name="_________________ddd5">#REF!</definedName>
    <definedName name="_________________ddd6">#REF!</definedName>
    <definedName name="_________________ddd8">#REF!</definedName>
    <definedName name="_________________ddd9">#REF!</definedName>
    <definedName name="_________________end001">#REF!</definedName>
    <definedName name="_________________end01">#REF!</definedName>
    <definedName name="________________ddd1">#REF!</definedName>
    <definedName name="________________ddd10">#REF!</definedName>
    <definedName name="________________ddd11">#REF!</definedName>
    <definedName name="________________ddd12">#REF!</definedName>
    <definedName name="________________ddd15">#REF!</definedName>
    <definedName name="________________ddd2">#REF!</definedName>
    <definedName name="________________ddd22">#REF!</definedName>
    <definedName name="________________ddd23">#REF!</definedName>
    <definedName name="________________ddd3">#REF!</definedName>
    <definedName name="________________ddd5">#REF!</definedName>
    <definedName name="________________ddd6">#REF!</definedName>
    <definedName name="________________ddd8">#REF!</definedName>
    <definedName name="________________ddd9">#REF!</definedName>
    <definedName name="________________end001">#REF!</definedName>
    <definedName name="________________end01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end01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_end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_end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1">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end01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1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1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AA">#REF!</definedName>
    <definedName name="AAA0">#REF!</definedName>
    <definedName name="AAA00">#REF!</definedName>
    <definedName name="AAA000">#REF!</definedName>
    <definedName name="dep">#REF!</definedName>
    <definedName name="drop1">#REF!</definedName>
    <definedName name="end">#REF!</definedName>
    <definedName name="END000">#REF!</definedName>
    <definedName name="_xlnm.Print_Titles" localSheetId="0">'1'!$6:$9</definedName>
    <definedName name="_xlnm.Print_Titles" localSheetId="1">'2.1'!$6:$10</definedName>
    <definedName name="_xlnm.Print_Titles" localSheetId="2">'2.2'!$6:$10</definedName>
    <definedName name="_xlnm.Print_Titles" localSheetId="3">'2.3'!$6:$10</definedName>
    <definedName name="_xlnm.Print_Titles" localSheetId="4">'2.4'!$6:$10</definedName>
    <definedName name="_xlnm.Print_Titles" localSheetId="5">'2.5'!$6:$10</definedName>
    <definedName name="_xlnm.Print_Titles" localSheetId="6">'3.1'!$6:$10</definedName>
    <definedName name="_xlnm.Print_Titles" localSheetId="7">'3.2'!$6:$10</definedName>
    <definedName name="_xlnm.Print_Titles" localSheetId="8">'3.3'!$6:$10</definedName>
    <definedName name="_xlnm.Print_Titles" localSheetId="9">'3.4'!$6:$10</definedName>
    <definedName name="_xlnm.Print_Titles" localSheetId="10">'3.5'!$6:$10</definedName>
    <definedName name="_xlnm.Print_Titles" localSheetId="11">'3.6'!$6:$11</definedName>
    <definedName name="_xlnm.Print_Titles" localSheetId="12">'4.2'!$6:$10</definedName>
    <definedName name="_xlnm.Print_Titles" localSheetId="13">'4.3'!$7:$12</definedName>
    <definedName name="_xlnm.Print_Titles" localSheetId="14">'4.4.1'!$7:$12</definedName>
    <definedName name="_xlnm.Print_Titles" localSheetId="15">'4.4.2'!$7:$11</definedName>
    <definedName name="_xlnm.Print_Titles" localSheetId="16">'4.5.4'!$7:$12</definedName>
    <definedName name="_xlnm.Print_Titles" localSheetId="17">'4.6'!$7:$11</definedName>
    <definedName name="_xlnm.Print_Titles" localSheetId="18">'5.1.1'!$7:$11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ปชส">#REF!</definedName>
    <definedName name="ผลงาน">#REF!</definedName>
    <definedName name="อบรมม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22" l="1"/>
  <c r="P83" i="22"/>
  <c r="P81" i="22"/>
  <c r="P82" i="22"/>
  <c r="P80" i="22"/>
  <c r="P77" i="22"/>
  <c r="P76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 s="1"/>
  <c r="P58" i="22"/>
  <c r="P57" i="22"/>
  <c r="P56" i="22"/>
  <c r="P55" i="22"/>
  <c r="P54" i="22"/>
  <c r="P53" i="22"/>
  <c r="P52" i="22"/>
  <c r="P51" i="22"/>
  <c r="P50" i="22"/>
  <c r="P49" i="22"/>
  <c r="P48" i="22" s="1"/>
  <c r="P47" i="22"/>
  <c r="P45" i="22"/>
  <c r="P44" i="22"/>
  <c r="P43" i="22"/>
  <c r="P42" i="22"/>
  <c r="P41" i="22"/>
  <c r="P40" i="22" s="1"/>
  <c r="P33" i="22"/>
  <c r="P32" i="22" s="1"/>
  <c r="P38" i="22"/>
  <c r="P37" i="22"/>
  <c r="P36" i="22"/>
  <c r="P35" i="22"/>
  <c r="P34" i="22"/>
  <c r="P30" i="22"/>
  <c r="P29" i="22"/>
  <c r="P28" i="22"/>
  <c r="P27" i="22" s="1"/>
  <c r="P26" i="22"/>
  <c r="P25" i="22"/>
  <c r="P24" i="22"/>
  <c r="P23" i="22"/>
  <c r="P22" i="22"/>
  <c r="P21" i="22"/>
  <c r="P20" i="22"/>
  <c r="P19" i="22"/>
  <c r="P18" i="22" s="1"/>
  <c r="P17" i="22" s="1"/>
  <c r="L75" i="45" l="1"/>
  <c r="L74" i="45"/>
  <c r="L73" i="45"/>
  <c r="L72" i="45"/>
  <c r="L71" i="45" s="1"/>
  <c r="L70" i="45"/>
  <c r="L69" i="45"/>
  <c r="L68" i="45" s="1"/>
  <c r="L62" i="45"/>
  <c r="L63" i="45"/>
  <c r="L64" i="45"/>
  <c r="L65" i="45"/>
  <c r="L66" i="45"/>
  <c r="L67" i="45"/>
  <c r="L61" i="45"/>
  <c r="L59" i="45"/>
  <c r="L57" i="45"/>
  <c r="L51" i="45"/>
  <c r="L50" i="45" s="1"/>
  <c r="L48" i="45"/>
  <c r="L47" i="45"/>
  <c r="L46" i="45" s="1"/>
  <c r="L41" i="45"/>
  <c r="L45" i="45"/>
  <c r="L44" i="45"/>
  <c r="L43" i="45"/>
  <c r="L40" i="45" s="1"/>
  <c r="L42" i="45"/>
  <c r="L36" i="45"/>
  <c r="L35" i="45"/>
  <c r="L39" i="45"/>
  <c r="L38" i="45"/>
  <c r="L32" i="45" s="1"/>
  <c r="L37" i="45"/>
  <c r="L34" i="45"/>
  <c r="L33" i="45"/>
  <c r="L31" i="45"/>
  <c r="L30" i="45"/>
  <c r="L29" i="45"/>
  <c r="L28" i="45"/>
  <c r="L27" i="45" s="1"/>
  <c r="L24" i="45"/>
  <c r="L20" i="45"/>
  <c r="L21" i="45"/>
  <c r="L22" i="45"/>
  <c r="L23" i="45"/>
  <c r="L19" i="45"/>
  <c r="L18" i="45"/>
  <c r="L17" i="45" s="1"/>
  <c r="L25" i="45"/>
  <c r="P39" i="43"/>
  <c r="P40" i="43"/>
  <c r="P38" i="43"/>
  <c r="P37" i="43"/>
  <c r="P36" i="43"/>
  <c r="P35" i="43"/>
  <c r="P34" i="43"/>
  <c r="P33" i="43" s="1"/>
  <c r="P30" i="43"/>
  <c r="P28" i="43" s="1"/>
  <c r="P32" i="43"/>
  <c r="P31" i="43"/>
  <c r="P25" i="43"/>
  <c r="P27" i="43"/>
  <c r="P26" i="43"/>
  <c r="P21" i="43"/>
  <c r="P22" i="43"/>
  <c r="P23" i="43"/>
  <c r="P24" i="43"/>
  <c r="P20" i="43"/>
  <c r="P19" i="43" s="1"/>
  <c r="P18" i="43" s="1"/>
  <c r="P59" i="21"/>
  <c r="P58" i="21"/>
  <c r="P57" i="21"/>
  <c r="P56" i="21"/>
  <c r="P54" i="21"/>
  <c r="P53" i="21"/>
  <c r="P52" i="21"/>
  <c r="P51" i="21"/>
  <c r="P50" i="21"/>
  <c r="P49" i="21" s="1"/>
  <c r="P48" i="21"/>
  <c r="P45" i="21"/>
  <c r="P44" i="21"/>
  <c r="P42" i="21" s="1"/>
  <c r="P43" i="21"/>
  <c r="P41" i="21"/>
  <c r="P40" i="21"/>
  <c r="P38" i="21" s="1"/>
  <c r="P39" i="21"/>
  <c r="P37" i="21"/>
  <c r="P36" i="21"/>
  <c r="P35" i="21"/>
  <c r="P34" i="21"/>
  <c r="P32" i="21"/>
  <c r="P31" i="21"/>
  <c r="P30" i="21"/>
  <c r="P29" i="21"/>
  <c r="P28" i="21" s="1"/>
  <c r="P25" i="21"/>
  <c r="P24" i="21"/>
  <c r="P23" i="21" s="1"/>
  <c r="P22" i="21"/>
  <c r="P21" i="21"/>
  <c r="P20" i="21"/>
  <c r="P19" i="21"/>
  <c r="P18" i="21" s="1"/>
  <c r="P17" i="21" s="1"/>
  <c r="P63" i="20"/>
  <c r="P62" i="20"/>
  <c r="P61" i="20"/>
  <c r="P60" i="20"/>
  <c r="P59" i="20"/>
  <c r="P58" i="20"/>
  <c r="P56" i="20"/>
  <c r="P55" i="20"/>
  <c r="P53" i="20"/>
  <c r="P51" i="20"/>
  <c r="P48" i="20"/>
  <c r="P47" i="20"/>
  <c r="P46" i="20"/>
  <c r="P45" i="20"/>
  <c r="P44" i="20" s="1"/>
  <c r="P42" i="20"/>
  <c r="P41" i="20"/>
  <c r="P40" i="20"/>
  <c r="P39" i="20"/>
  <c r="P38" i="20"/>
  <c r="P37" i="20"/>
  <c r="P36" i="20"/>
  <c r="P35" i="20" s="1"/>
  <c r="P31" i="20"/>
  <c r="P30" i="20"/>
  <c r="P29" i="20"/>
  <c r="P28" i="20" s="1"/>
  <c r="P25" i="20"/>
  <c r="P24" i="20"/>
  <c r="P23" i="20" s="1"/>
  <c r="P22" i="20"/>
  <c r="P21" i="20"/>
  <c r="P20" i="20"/>
  <c r="P19" i="20" s="1"/>
  <c r="P18" i="20" l="1"/>
  <c r="P12" i="43"/>
  <c r="L60" i="45"/>
  <c r="L49" i="45" s="1"/>
  <c r="L26" i="45" s="1"/>
  <c r="L11" i="45" s="1"/>
  <c r="P45" i="19"/>
  <c r="P44" i="19"/>
  <c r="P216" i="19"/>
  <c r="P215" i="19"/>
  <c r="P214" i="19"/>
  <c r="P213" i="19"/>
  <c r="P212" i="19"/>
  <c r="P211" i="19"/>
  <c r="P210" i="19"/>
  <c r="P209" i="19"/>
  <c r="P207" i="19"/>
  <c r="P206" i="19"/>
  <c r="P203" i="19"/>
  <c r="P201" i="19"/>
  <c r="P200" i="19"/>
  <c r="P198" i="19"/>
  <c r="P197" i="19"/>
  <c r="P195" i="19"/>
  <c r="P194" i="19"/>
  <c r="P189" i="19"/>
  <c r="P188" i="19"/>
  <c r="P186" i="19"/>
  <c r="P185" i="19"/>
  <c r="P183" i="19"/>
  <c r="P182" i="19"/>
  <c r="P180" i="19"/>
  <c r="P179" i="19"/>
  <c r="P176" i="19" s="1"/>
  <c r="P178" i="19"/>
  <c r="P177" i="19"/>
  <c r="P157" i="19"/>
  <c r="P156" i="19"/>
  <c r="P155" i="19"/>
  <c r="P153" i="19" s="1"/>
  <c r="P151" i="19"/>
  <c r="P150" i="19"/>
  <c r="P149" i="19"/>
  <c r="P147" i="19"/>
  <c r="P146" i="19"/>
  <c r="P145" i="19"/>
  <c r="P142" i="19"/>
  <c r="P141" i="19"/>
  <c r="P140" i="19"/>
  <c r="P139" i="19"/>
  <c r="P138" i="19" s="1"/>
  <c r="P136" i="19"/>
  <c r="P135" i="19"/>
  <c r="P134" i="19"/>
  <c r="P132" i="19" s="1"/>
  <c r="P133" i="19"/>
  <c r="P130" i="19"/>
  <c r="P129" i="19"/>
  <c r="P127" i="19"/>
  <c r="P126" i="19"/>
  <c r="P124" i="19"/>
  <c r="P123" i="19"/>
  <c r="P120" i="19"/>
  <c r="P118" i="19"/>
  <c r="P117" i="19"/>
  <c r="P116" i="19"/>
  <c r="P115" i="19"/>
  <c r="P112" i="19"/>
  <c r="P111" i="19"/>
  <c r="P110" i="19"/>
  <c r="P108" i="19"/>
  <c r="P107" i="19"/>
  <c r="P101" i="19"/>
  <c r="P100" i="19"/>
  <c r="P99" i="19"/>
  <c r="P96" i="19" s="1"/>
  <c r="P98" i="19"/>
  <c r="P97" i="19"/>
  <c r="P85" i="19"/>
  <c r="P84" i="19"/>
  <c r="P83" i="19"/>
  <c r="P82" i="19"/>
  <c r="P81" i="19"/>
  <c r="P80" i="19"/>
  <c r="P79" i="19"/>
  <c r="P78" i="19"/>
  <c r="P75" i="19"/>
  <c r="P74" i="19"/>
  <c r="P73" i="19"/>
  <c r="P72" i="19"/>
  <c r="P71" i="19"/>
  <c r="P70" i="19"/>
  <c r="P69" i="19"/>
  <c r="P68" i="19"/>
  <c r="P65" i="19"/>
  <c r="P64" i="19"/>
  <c r="P63" i="19"/>
  <c r="P60" i="19"/>
  <c r="P59" i="19"/>
  <c r="P58" i="19"/>
  <c r="P57" i="19"/>
  <c r="P56" i="19"/>
  <c r="P55" i="19"/>
  <c r="P53" i="19"/>
  <c r="P48" i="19"/>
  <c r="P47" i="19"/>
  <c r="P41" i="19"/>
  <c r="P20" i="19"/>
  <c r="P42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6" i="19"/>
  <c r="P25" i="19"/>
  <c r="P23" i="19"/>
  <c r="P22" i="19"/>
  <c r="P21" i="19"/>
  <c r="P243" i="18" l="1"/>
  <c r="P245" i="18"/>
  <c r="P246" i="18"/>
  <c r="P244" i="18"/>
  <c r="P240" i="18"/>
  <c r="P241" i="18"/>
  <c r="P242" i="18"/>
  <c r="P239" i="18"/>
  <c r="P238" i="18" s="1"/>
  <c r="P237" i="18"/>
  <c r="P233" i="18"/>
  <c r="P232" i="18" s="1"/>
  <c r="P234" i="18"/>
  <c r="P235" i="18"/>
  <c r="P236" i="18"/>
  <c r="P231" i="18" l="1"/>
  <c r="P229" i="18"/>
  <c r="P230" i="18"/>
  <c r="P228" i="18"/>
  <c r="P227" i="18" s="1"/>
  <c r="P224" i="18"/>
  <c r="P225" i="18"/>
  <c r="P226" i="18"/>
  <c r="P223" i="18"/>
  <c r="P222" i="18" s="1"/>
  <c r="P219" i="18"/>
  <c r="P220" i="18"/>
  <c r="P221" i="18"/>
  <c r="P218" i="18"/>
  <c r="P217" i="18" s="1"/>
  <c r="P216" i="18"/>
  <c r="P212" i="18"/>
  <c r="P213" i="18"/>
  <c r="P210" i="18" s="1"/>
  <c r="P214" i="18"/>
  <c r="P215" i="18"/>
  <c r="P211" i="18"/>
  <c r="P207" i="18"/>
  <c r="P208" i="18"/>
  <c r="P206" i="18"/>
  <c r="P205" i="18" s="1"/>
  <c r="P202" i="18"/>
  <c r="P203" i="18"/>
  <c r="P204" i="18"/>
  <c r="P201" i="18"/>
  <c r="P200" i="18" s="1"/>
  <c r="P198" i="18"/>
  <c r="P192" i="18"/>
  <c r="P193" i="18"/>
  <c r="P194" i="18"/>
  <c r="P195" i="18"/>
  <c r="P196" i="18"/>
  <c r="P197" i="18"/>
  <c r="P191" i="18"/>
  <c r="P190" i="18" s="1"/>
  <c r="P189" i="18"/>
  <c r="P188" i="18" s="1"/>
  <c r="P182" i="18"/>
  <c r="P181" i="18"/>
  <c r="P183" i="18"/>
  <c r="P184" i="18"/>
  <c r="P185" i="18"/>
  <c r="P186" i="18"/>
  <c r="P187" i="18"/>
  <c r="P180" i="18"/>
  <c r="P179" i="18"/>
  <c r="P176" i="18"/>
  <c r="P177" i="18"/>
  <c r="P178" i="18"/>
  <c r="P175" i="18"/>
  <c r="P174" i="18" s="1"/>
  <c r="P171" i="18"/>
  <c r="P172" i="18"/>
  <c r="P170" i="18"/>
  <c r="P166" i="18"/>
  <c r="P167" i="18"/>
  <c r="P168" i="18"/>
  <c r="P165" i="18"/>
  <c r="P161" i="18"/>
  <c r="P162" i="18"/>
  <c r="P163" i="18"/>
  <c r="P160" i="18"/>
  <c r="P158" i="18"/>
  <c r="P157" i="18"/>
  <c r="P155" i="18"/>
  <c r="P154" i="18"/>
  <c r="P153" i="18" s="1"/>
  <c r="P151" i="18"/>
  <c r="P152" i="18"/>
  <c r="P150" i="18"/>
  <c r="P146" i="18"/>
  <c r="P147" i="18"/>
  <c r="P148" i="18"/>
  <c r="P145" i="18"/>
  <c r="P141" i="18"/>
  <c r="P142" i="18"/>
  <c r="P143" i="18"/>
  <c r="P140" i="18"/>
  <c r="P136" i="18"/>
  <c r="P134" i="18" s="1"/>
  <c r="P137" i="18"/>
  <c r="P135" i="18"/>
  <c r="P131" i="18"/>
  <c r="P132" i="18"/>
  <c r="P133" i="18"/>
  <c r="P130" i="18"/>
  <c r="P173" i="18" l="1"/>
  <c r="P209" i="18"/>
  <c r="P129" i="18"/>
  <c r="P156" i="18"/>
  <c r="P139" i="18"/>
  <c r="P144" i="18"/>
  <c r="P149" i="18"/>
  <c r="P159" i="18"/>
  <c r="P164" i="18"/>
  <c r="P169" i="18"/>
  <c r="P128" i="18"/>
  <c r="P124" i="18"/>
  <c r="P125" i="18"/>
  <c r="P126" i="18"/>
  <c r="P122" i="18" s="1"/>
  <c r="P127" i="18"/>
  <c r="P123" i="18"/>
  <c r="P121" i="18"/>
  <c r="P120" i="18"/>
  <c r="P119" i="18" l="1"/>
  <c r="P138" i="18"/>
  <c r="P116" i="18"/>
  <c r="P117" i="18"/>
  <c r="P118" i="18"/>
  <c r="P115" i="18"/>
  <c r="P110" i="18"/>
  <c r="P111" i="18"/>
  <c r="P112" i="18"/>
  <c r="P113" i="18"/>
  <c r="P109" i="18"/>
  <c r="P103" i="18"/>
  <c r="P104" i="18"/>
  <c r="P105" i="18"/>
  <c r="P106" i="18"/>
  <c r="P107" i="18"/>
  <c r="P102" i="18"/>
  <c r="P96" i="18"/>
  <c r="P97" i="18"/>
  <c r="P98" i="18"/>
  <c r="P99" i="18"/>
  <c r="P100" i="18"/>
  <c r="P95" i="18"/>
  <c r="V46" i="18"/>
  <c r="P89" i="18"/>
  <c r="P86" i="18"/>
  <c r="P87" i="18"/>
  <c r="P88" i="18"/>
  <c r="P85" i="18"/>
  <c r="P78" i="18"/>
  <c r="P79" i="18"/>
  <c r="P80" i="18"/>
  <c r="P81" i="18"/>
  <c r="P82" i="18"/>
  <c r="P83" i="18"/>
  <c r="P77" i="18"/>
  <c r="P71" i="18"/>
  <c r="P72" i="18"/>
  <c r="P73" i="18"/>
  <c r="P74" i="18"/>
  <c r="P75" i="18"/>
  <c r="P70" i="18"/>
  <c r="P65" i="18"/>
  <c r="P66" i="18"/>
  <c r="P67" i="18"/>
  <c r="P68" i="18"/>
  <c r="P64" i="18"/>
  <c r="P57" i="18"/>
  <c r="P58" i="18"/>
  <c r="P59" i="18"/>
  <c r="P60" i="18"/>
  <c r="P61" i="18"/>
  <c r="P62" i="18"/>
  <c r="P56" i="18"/>
  <c r="P53" i="18"/>
  <c r="P54" i="18"/>
  <c r="P52" i="18"/>
  <c r="P50" i="18"/>
  <c r="P49" i="18"/>
  <c r="P48" i="18"/>
  <c r="P44" i="18"/>
  <c r="P41" i="18"/>
  <c r="P42" i="18"/>
  <c r="P43" i="18"/>
  <c r="P40" i="18"/>
  <c r="P39" i="18"/>
  <c r="P36" i="18"/>
  <c r="P37" i="18"/>
  <c r="P38" i="18"/>
  <c r="P35" i="18"/>
  <c r="P32" i="18"/>
  <c r="P31" i="18" s="1"/>
  <c r="P19" i="18"/>
  <c r="P20" i="18"/>
  <c r="P21" i="18"/>
  <c r="P22" i="18"/>
  <c r="P23" i="18"/>
  <c r="P24" i="18"/>
  <c r="P25" i="18"/>
  <c r="P26" i="18"/>
  <c r="P27" i="18"/>
  <c r="P28" i="18"/>
  <c r="P29" i="18"/>
  <c r="P30" i="18"/>
  <c r="P18" i="18"/>
  <c r="P55" i="18" l="1"/>
  <c r="P101" i="18"/>
  <c r="P51" i="18"/>
  <c r="P63" i="18"/>
  <c r="P94" i="18"/>
  <c r="P108" i="18"/>
  <c r="P34" i="18"/>
  <c r="P47" i="18"/>
  <c r="P46" i="18" s="1"/>
  <c r="P69" i="18"/>
  <c r="P76" i="18"/>
  <c r="P114" i="18"/>
  <c r="P17" i="18"/>
  <c r="P16" i="18" s="1"/>
  <c r="P84" i="18"/>
  <c r="P98" i="13"/>
  <c r="P97" i="13"/>
  <c r="P95" i="13"/>
  <c r="P93" i="13"/>
  <c r="P92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 s="1"/>
  <c r="P75" i="13"/>
  <c r="P74" i="13"/>
  <c r="P71" i="13"/>
  <c r="P69" i="13"/>
  <c r="P68" i="13"/>
  <c r="P37" i="13"/>
  <c r="P31" i="13"/>
  <c r="P30" i="13"/>
  <c r="P29" i="13"/>
  <c r="P28" i="13"/>
  <c r="P27" i="13"/>
  <c r="P26" i="13"/>
  <c r="P25" i="13"/>
  <c r="P24" i="13"/>
  <c r="P23" i="13"/>
  <c r="P22" i="13"/>
  <c r="P20" i="13"/>
  <c r="P19" i="13"/>
  <c r="P123" i="12"/>
  <c r="P122" i="12"/>
  <c r="P121" i="12"/>
  <c r="P120" i="12"/>
  <c r="P119" i="12" s="1"/>
  <c r="P118" i="12"/>
  <c r="P116" i="12" s="1"/>
  <c r="P117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 s="1"/>
  <c r="P84" i="12"/>
  <c r="P83" i="12"/>
  <c r="P81" i="12"/>
  <c r="P80" i="12"/>
  <c r="P79" i="12"/>
  <c r="P78" i="12"/>
  <c r="P77" i="12"/>
  <c r="P76" i="12"/>
  <c r="P74" i="12"/>
  <c r="P73" i="12"/>
  <c r="P72" i="12"/>
  <c r="P71" i="12"/>
  <c r="P70" i="12"/>
  <c r="P69" i="12" s="1"/>
  <c r="P68" i="12"/>
  <c r="P67" i="12"/>
  <c r="P66" i="12"/>
  <c r="P65" i="12"/>
  <c r="P64" i="12"/>
  <c r="P63" i="12"/>
  <c r="P60" i="12"/>
  <c r="P59" i="12"/>
  <c r="P58" i="12"/>
  <c r="P56" i="12" s="1"/>
  <c r="P57" i="12"/>
  <c r="P55" i="12"/>
  <c r="P54" i="12"/>
  <c r="P53" i="12" s="1"/>
  <c r="P52" i="12"/>
  <c r="P51" i="12"/>
  <c r="P48" i="12"/>
  <c r="P47" i="12"/>
  <c r="P46" i="12"/>
  <c r="P45" i="12" s="1"/>
  <c r="P44" i="12"/>
  <c r="P43" i="12"/>
  <c r="P42" i="12"/>
  <c r="P40" i="12"/>
  <c r="P39" i="12"/>
  <c r="P36" i="12"/>
  <c r="P35" i="12"/>
  <c r="P34" i="12"/>
  <c r="P33" i="12" s="1"/>
  <c r="P30" i="12"/>
  <c r="P28" i="12" s="1"/>
  <c r="P29" i="12"/>
  <c r="P27" i="12"/>
  <c r="P26" i="12"/>
  <c r="P25" i="12"/>
  <c r="P24" i="12"/>
  <c r="P23" i="12"/>
  <c r="P22" i="12"/>
  <c r="P21" i="12"/>
  <c r="P20" i="12"/>
  <c r="P19" i="12"/>
  <c r="P18" i="12"/>
  <c r="P80" i="11"/>
  <c r="P79" i="11"/>
  <c r="P77" i="11"/>
  <c r="P75" i="11"/>
  <c r="P74" i="11"/>
  <c r="P71" i="11"/>
  <c r="P70" i="11"/>
  <c r="P69" i="11"/>
  <c r="P68" i="11"/>
  <c r="P67" i="11"/>
  <c r="P66" i="11"/>
  <c r="P65" i="11"/>
  <c r="P64" i="11"/>
  <c r="P60" i="11"/>
  <c r="P59" i="11"/>
  <c r="P58" i="11"/>
  <c r="P57" i="11"/>
  <c r="P53" i="11"/>
  <c r="P52" i="11" s="1"/>
  <c r="P49" i="11"/>
  <c r="P48" i="11"/>
  <c r="P47" i="11"/>
  <c r="P46" i="11"/>
  <c r="P42" i="11"/>
  <c r="P41" i="11"/>
  <c r="P40" i="11"/>
  <c r="P39" i="11"/>
  <c r="P35" i="11"/>
  <c r="P34" i="11"/>
  <c r="P33" i="11"/>
  <c r="P32" i="11"/>
  <c r="P29" i="11"/>
  <c r="P28" i="11"/>
  <c r="P27" i="11"/>
  <c r="P26" i="11"/>
  <c r="P23" i="11"/>
  <c r="P22" i="11"/>
  <c r="P21" i="11"/>
  <c r="P20" i="11"/>
  <c r="P19" i="11"/>
  <c r="P18" i="11"/>
  <c r="P69" i="10"/>
  <c r="P68" i="10"/>
  <c r="P67" i="10"/>
  <c r="P65" i="10"/>
  <c r="P64" i="10"/>
  <c r="P62" i="10"/>
  <c r="P61" i="10"/>
  <c r="P60" i="10"/>
  <c r="P59" i="10"/>
  <c r="P58" i="10"/>
  <c r="P57" i="10"/>
  <c r="P56" i="10"/>
  <c r="P54" i="10"/>
  <c r="P53" i="10"/>
  <c r="P51" i="10"/>
  <c r="P50" i="10"/>
  <c r="P48" i="10"/>
  <c r="P47" i="10"/>
  <c r="P45" i="10"/>
  <c r="P44" i="10"/>
  <c r="P42" i="10"/>
  <c r="P41" i="10"/>
  <c r="P40" i="10"/>
  <c r="P39" i="10"/>
  <c r="P38" i="10"/>
  <c r="P36" i="10"/>
  <c r="P35" i="10"/>
  <c r="P33" i="10"/>
  <c r="P32" i="10"/>
  <c r="P31" i="10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49" i="9" s="1"/>
  <c r="P50" i="9"/>
  <c r="P48" i="9"/>
  <c r="P47" i="9"/>
  <c r="P45" i="9"/>
  <c r="P44" i="9"/>
  <c r="P42" i="9"/>
  <c r="P41" i="9"/>
  <c r="P40" i="9"/>
  <c r="P39" i="9"/>
  <c r="P38" i="9"/>
  <c r="P36" i="9"/>
  <c r="P35" i="9"/>
  <c r="P33" i="9"/>
  <c r="P32" i="9"/>
  <c r="P31" i="9"/>
  <c r="P30" i="9" s="1"/>
  <c r="P28" i="9"/>
  <c r="P27" i="9"/>
  <c r="P25" i="9" s="1"/>
  <c r="P26" i="9"/>
  <c r="P24" i="9"/>
  <c r="P23" i="9"/>
  <c r="P22" i="9"/>
  <c r="P21" i="9"/>
  <c r="P20" i="9"/>
  <c r="P19" i="9"/>
  <c r="P18" i="9"/>
  <c r="P100" i="8"/>
  <c r="P99" i="8"/>
  <c r="P98" i="8"/>
  <c r="P97" i="8"/>
  <c r="P96" i="8" s="1"/>
  <c r="P95" i="8"/>
  <c r="P94" i="8"/>
  <c r="P93" i="8"/>
  <c r="P91" i="8" s="1"/>
  <c r="P92" i="8"/>
  <c r="P90" i="8"/>
  <c r="P89" i="8"/>
  <c r="P88" i="8"/>
  <c r="P87" i="8"/>
  <c r="P86" i="8" s="1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 s="1"/>
  <c r="P71" i="8"/>
  <c r="P70" i="8"/>
  <c r="P69" i="8"/>
  <c r="P68" i="8"/>
  <c r="P67" i="8"/>
  <c r="P66" i="8" s="1"/>
  <c r="P65" i="8"/>
  <c r="P64" i="8"/>
  <c r="P63" i="8"/>
  <c r="P62" i="8"/>
  <c r="P61" i="8"/>
  <c r="P60" i="8"/>
  <c r="P59" i="8"/>
  <c r="P58" i="8"/>
  <c r="P57" i="8" s="1"/>
  <c r="P56" i="8"/>
  <c r="P55" i="8"/>
  <c r="P53" i="8"/>
  <c r="P52" i="8"/>
  <c r="P50" i="8"/>
  <c r="P49" i="8"/>
  <c r="P48" i="8"/>
  <c r="P47" i="8"/>
  <c r="P46" i="8"/>
  <c r="P45" i="8"/>
  <c r="P44" i="8"/>
  <c r="P42" i="8" s="1"/>
  <c r="P43" i="8"/>
  <c r="P41" i="8"/>
  <c r="P40" i="8"/>
  <c r="P39" i="8"/>
  <c r="P38" i="8"/>
  <c r="P37" i="8"/>
  <c r="P35" i="8"/>
  <c r="P34" i="8"/>
  <c r="P33" i="8"/>
  <c r="P32" i="8"/>
  <c r="P31" i="8"/>
  <c r="P30" i="8"/>
  <c r="P29" i="8"/>
  <c r="P28" i="8"/>
  <c r="P24" i="8"/>
  <c r="P25" i="8"/>
  <c r="P23" i="8"/>
  <c r="P22" i="8"/>
  <c r="P21" i="8"/>
  <c r="P17" i="8" s="1"/>
  <c r="P20" i="8"/>
  <c r="P19" i="8"/>
  <c r="P18" i="8"/>
  <c r="P46" i="7"/>
  <c r="P44" i="7"/>
  <c r="P43" i="7"/>
  <c r="P42" i="7"/>
  <c r="P41" i="7"/>
  <c r="P40" i="7"/>
  <c r="P39" i="7"/>
  <c r="P37" i="7"/>
  <c r="P36" i="7"/>
  <c r="P34" i="7" s="1"/>
  <c r="P35" i="7"/>
  <c r="P33" i="7"/>
  <c r="P32" i="7"/>
  <c r="P31" i="7"/>
  <c r="P30" i="7"/>
  <c r="P28" i="7"/>
  <c r="P27" i="7"/>
  <c r="P26" i="7"/>
  <c r="P24" i="7"/>
  <c r="P23" i="7" s="1"/>
  <c r="P22" i="7"/>
  <c r="P21" i="7"/>
  <c r="P20" i="7"/>
  <c r="P19" i="7"/>
  <c r="P18" i="7"/>
  <c r="P74" i="6"/>
  <c r="P73" i="6"/>
  <c r="P72" i="6"/>
  <c r="P71" i="6"/>
  <c r="P70" i="6"/>
  <c r="P69" i="6"/>
  <c r="P68" i="6"/>
  <c r="P67" i="6"/>
  <c r="P66" i="6"/>
  <c r="P65" i="6"/>
  <c r="P64" i="6"/>
  <c r="P63" i="6"/>
  <c r="P61" i="6"/>
  <c r="P60" i="6"/>
  <c r="P58" i="6"/>
  <c r="P57" i="6"/>
  <c r="P56" i="6"/>
  <c r="P53" i="6"/>
  <c r="P52" i="6" s="1"/>
  <c r="P51" i="6"/>
  <c r="P50" i="6"/>
  <c r="P48" i="6"/>
  <c r="P47" i="6"/>
  <c r="P45" i="6"/>
  <c r="P44" i="6"/>
  <c r="P43" i="6"/>
  <c r="P42" i="6"/>
  <c r="P40" i="6" s="1"/>
  <c r="P41" i="6"/>
  <c r="P39" i="6"/>
  <c r="P38" i="6"/>
  <c r="P36" i="6" s="1"/>
  <c r="P37" i="6"/>
  <c r="P35" i="6"/>
  <c r="P34" i="6"/>
  <c r="P33" i="6"/>
  <c r="P30" i="6"/>
  <c r="P29" i="6"/>
  <c r="P28" i="6"/>
  <c r="P25" i="6"/>
  <c r="P23" i="6"/>
  <c r="P22" i="6"/>
  <c r="P21" i="6"/>
  <c r="P20" i="6"/>
  <c r="P19" i="6"/>
  <c r="P18" i="6"/>
  <c r="P17" i="6" s="1"/>
  <c r="P33" i="18" l="1"/>
  <c r="P10" i="18" s="1"/>
  <c r="P93" i="18"/>
  <c r="P31" i="11"/>
  <c r="P45" i="11"/>
  <c r="P56" i="11"/>
  <c r="P63" i="11"/>
  <c r="P37" i="11"/>
  <c r="P25" i="11"/>
  <c r="P44" i="5"/>
  <c r="P45" i="5"/>
  <c r="P46" i="5"/>
  <c r="P47" i="5"/>
  <c r="P43" i="5"/>
  <c r="P42" i="5" s="1"/>
  <c r="P41" i="5"/>
  <c r="P40" i="5"/>
  <c r="P39" i="5"/>
  <c r="P38" i="5"/>
  <c r="P37" i="5"/>
  <c r="P36" i="5" s="1"/>
  <c r="P35" i="5"/>
  <c r="P34" i="5"/>
  <c r="P33" i="5"/>
  <c r="P32" i="5"/>
  <c r="P31" i="5"/>
  <c r="P30" i="5" s="1"/>
  <c r="P29" i="5"/>
  <c r="P28" i="5"/>
  <c r="P27" i="5"/>
  <c r="P26" i="5"/>
  <c r="P25" i="5" s="1"/>
  <c r="P49" i="5"/>
  <c r="P48" i="5"/>
  <c r="P21" i="5"/>
  <c r="P20" i="5"/>
  <c r="P19" i="5"/>
  <c r="P18" i="5"/>
  <c r="P17" i="5" s="1"/>
  <c r="P60" i="4"/>
  <c r="P59" i="4"/>
  <c r="P58" i="4"/>
  <c r="P57" i="4"/>
  <c r="P55" i="4" s="1"/>
  <c r="P51" i="4"/>
  <c r="P52" i="4"/>
  <c r="P50" i="4"/>
  <c r="P49" i="4"/>
  <c r="P48" i="4"/>
  <c r="P47" i="4" s="1"/>
  <c r="P46" i="4"/>
  <c r="P45" i="4"/>
  <c r="P44" i="4"/>
  <c r="P43" i="4"/>
  <c r="P42" i="4"/>
  <c r="P41" i="4"/>
  <c r="P40" i="4" s="1"/>
  <c r="P39" i="4"/>
  <c r="P38" i="4"/>
  <c r="P37" i="4"/>
  <c r="P36" i="4" s="1"/>
  <c r="P28" i="4"/>
  <c r="P31" i="4"/>
  <c r="P30" i="4"/>
  <c r="P29" i="4"/>
  <c r="P27" i="4" s="1"/>
  <c r="P24" i="4"/>
  <c r="P25" i="4"/>
  <c r="P23" i="4"/>
  <c r="P22" i="4"/>
  <c r="P21" i="4"/>
  <c r="P18" i="4"/>
  <c r="P77" i="3"/>
  <c r="P76" i="3"/>
  <c r="P75" i="3"/>
  <c r="P73" i="3"/>
  <c r="P72" i="3"/>
  <c r="P71" i="3"/>
  <c r="P70" i="3"/>
  <c r="P66" i="3"/>
  <c r="P65" i="3"/>
  <c r="P64" i="3"/>
  <c r="P63" i="3"/>
  <c r="P62" i="3"/>
  <c r="P61" i="3"/>
  <c r="P60" i="3"/>
  <c r="P59" i="3"/>
  <c r="P57" i="3"/>
  <c r="P56" i="3"/>
  <c r="P55" i="3"/>
  <c r="P54" i="3"/>
  <c r="P53" i="3"/>
  <c r="P52" i="3"/>
  <c r="P43" i="3"/>
  <c r="P42" i="3"/>
  <c r="P36" i="3"/>
  <c r="P33" i="3"/>
  <c r="P28" i="3"/>
  <c r="P27" i="3"/>
  <c r="P26" i="3"/>
  <c r="P23" i="3"/>
  <c r="P18" i="3"/>
  <c r="P67" i="1"/>
  <c r="P29" i="1"/>
  <c r="P17" i="1"/>
  <c r="P69" i="3" l="1"/>
  <c r="P51" i="3"/>
  <c r="P24" i="5"/>
  <c r="P46" i="22" l="1"/>
  <c r="P31" i="22" s="1"/>
  <c r="P16" i="22" s="1"/>
  <c r="P11" i="22" l="1"/>
  <c r="P33" i="21" l="1"/>
  <c r="P27" i="21" s="1"/>
  <c r="P26" i="21" l="1"/>
  <c r="P11" i="21" s="1"/>
  <c r="P54" i="20" l="1"/>
  <c r="P52" i="20"/>
  <c r="P34" i="20"/>
  <c r="P50" i="20" l="1"/>
  <c r="P57" i="20"/>
  <c r="P49" i="20" l="1"/>
  <c r="P26" i="20"/>
  <c r="P12" i="20" s="1"/>
  <c r="P443" i="19" l="1"/>
  <c r="P442" i="19"/>
  <c r="P441" i="19"/>
  <c r="P440" i="19"/>
  <c r="P439" i="19"/>
  <c r="O437" i="19"/>
  <c r="P437" i="19" s="1"/>
  <c r="P436" i="19"/>
  <c r="O435" i="19"/>
  <c r="P435" i="19" s="1"/>
  <c r="O434" i="19"/>
  <c r="P434" i="19" s="1"/>
  <c r="O433" i="19"/>
  <c r="P433" i="19" s="1"/>
  <c r="O432" i="19"/>
  <c r="P432" i="19" s="1"/>
  <c r="O431" i="19"/>
  <c r="P431" i="19" s="1"/>
  <c r="O429" i="19"/>
  <c r="P429" i="19" s="1"/>
  <c r="P428" i="19"/>
  <c r="O427" i="19"/>
  <c r="P427" i="19" s="1"/>
  <c r="O426" i="19"/>
  <c r="P426" i="19" s="1"/>
  <c r="O425" i="19"/>
  <c r="P425" i="19" s="1"/>
  <c r="O424" i="19"/>
  <c r="P424" i="19" s="1"/>
  <c r="O423" i="19"/>
  <c r="P423" i="19" s="1"/>
  <c r="O421" i="19"/>
  <c r="P421" i="19" s="1"/>
  <c r="P420" i="19"/>
  <c r="O419" i="19"/>
  <c r="P419" i="19" s="1"/>
  <c r="O418" i="19"/>
  <c r="P418" i="19" s="1"/>
  <c r="O417" i="19"/>
  <c r="P417" i="19" s="1"/>
  <c r="O416" i="19"/>
  <c r="P416" i="19" s="1"/>
  <c r="O415" i="19"/>
  <c r="P415" i="19" s="1"/>
  <c r="O412" i="19"/>
  <c r="P412" i="19" s="1"/>
  <c r="O411" i="19"/>
  <c r="P411" i="19" s="1"/>
  <c r="O410" i="19"/>
  <c r="P410" i="19" s="1"/>
  <c r="O409" i="19"/>
  <c r="P409" i="19" s="1"/>
  <c r="P408" i="19"/>
  <c r="P406" i="19"/>
  <c r="P405" i="19"/>
  <c r="P402" i="19"/>
  <c r="P401" i="19"/>
  <c r="P393" i="19"/>
  <c r="P392" i="19"/>
  <c r="P391" i="19"/>
  <c r="O390" i="19"/>
  <c r="P390" i="19" s="1"/>
  <c r="P389" i="19"/>
  <c r="P386" i="19"/>
  <c r="P385" i="19"/>
  <c r="P384" i="19"/>
  <c r="O383" i="19"/>
  <c r="P383" i="19" s="1"/>
  <c r="P382" i="19"/>
  <c r="P379" i="19"/>
  <c r="P378" i="19"/>
  <c r="P377" i="19"/>
  <c r="O376" i="19"/>
  <c r="P376" i="19" s="1"/>
  <c r="P375" i="19"/>
  <c r="P372" i="19"/>
  <c r="P371" i="19"/>
  <c r="P370" i="19"/>
  <c r="P369" i="19"/>
  <c r="P368" i="19"/>
  <c r="P366" i="19"/>
  <c r="P365" i="19"/>
  <c r="P364" i="19"/>
  <c r="P363" i="19"/>
  <c r="P361" i="19"/>
  <c r="P360" i="19"/>
  <c r="P359" i="19"/>
  <c r="P358" i="19"/>
  <c r="P357" i="19"/>
  <c r="O356" i="19"/>
  <c r="P356" i="19" s="1"/>
  <c r="P355" i="19"/>
  <c r="P353" i="19"/>
  <c r="P352" i="19"/>
  <c r="P351" i="19"/>
  <c r="P350" i="19"/>
  <c r="P348" i="19"/>
  <c r="P347" i="19"/>
  <c r="O346" i="19"/>
  <c r="P346" i="19" s="1"/>
  <c r="P345" i="19"/>
  <c r="P344" i="19"/>
  <c r="P343" i="19"/>
  <c r="P342" i="19"/>
  <c r="P339" i="19"/>
  <c r="P338" i="19" s="1"/>
  <c r="P334" i="19"/>
  <c r="P333" i="19"/>
  <c r="P332" i="19"/>
  <c r="P331" i="19"/>
  <c r="P330" i="19"/>
  <c r="P328" i="19"/>
  <c r="P327" i="19"/>
  <c r="P326" i="19"/>
  <c r="P324" i="19"/>
  <c r="P323" i="19"/>
  <c r="P322" i="19"/>
  <c r="P321" i="19"/>
  <c r="P319" i="19"/>
  <c r="P318" i="19"/>
  <c r="P317" i="19"/>
  <c r="P316" i="19"/>
  <c r="P315" i="19"/>
  <c r="P314" i="19"/>
  <c r="P309" i="19"/>
  <c r="P308" i="19"/>
  <c r="P307" i="19"/>
  <c r="P306" i="19"/>
  <c r="P305" i="19"/>
  <c r="P303" i="19"/>
  <c r="P302" i="19"/>
  <c r="P301" i="19"/>
  <c r="P300" i="19"/>
  <c r="P299" i="19"/>
  <c r="P298" i="19"/>
  <c r="P297" i="19"/>
  <c r="P296" i="19"/>
  <c r="P294" i="19"/>
  <c r="P293" i="19"/>
  <c r="P292" i="19"/>
  <c r="P290" i="19"/>
  <c r="P289" i="19"/>
  <c r="P288" i="19"/>
  <c r="P286" i="19"/>
  <c r="P285" i="19"/>
  <c r="P284" i="19"/>
  <c r="P283" i="19"/>
  <c r="P282" i="19"/>
  <c r="P281" i="19"/>
  <c r="P280" i="19"/>
  <c r="P277" i="19"/>
  <c r="P276" i="19"/>
  <c r="P275" i="19"/>
  <c r="P274" i="19"/>
  <c r="P273" i="19"/>
  <c r="P272" i="19"/>
  <c r="P271" i="19"/>
  <c r="P267" i="19"/>
  <c r="P266" i="19"/>
  <c r="P265" i="19"/>
  <c r="P264" i="19"/>
  <c r="P263" i="19"/>
  <c r="P261" i="19"/>
  <c r="P260" i="19"/>
  <c r="P259" i="19"/>
  <c r="P258" i="19"/>
  <c r="P257" i="19"/>
  <c r="P256" i="19"/>
  <c r="P255" i="19"/>
  <c r="P252" i="19"/>
  <c r="P251" i="19"/>
  <c r="P250" i="19"/>
  <c r="P247" i="19"/>
  <c r="P246" i="19"/>
  <c r="P245" i="19"/>
  <c r="P244" i="19"/>
  <c r="P243" i="19"/>
  <c r="P242" i="19"/>
  <c r="P240" i="19"/>
  <c r="P237" i="19"/>
  <c r="P236" i="19"/>
  <c r="P235" i="19"/>
  <c r="P234" i="19"/>
  <c r="P233" i="19"/>
  <c r="P228" i="19"/>
  <c r="P227" i="19"/>
  <c r="P226" i="19"/>
  <c r="P225" i="19"/>
  <c r="P224" i="19"/>
  <c r="P223" i="19"/>
  <c r="P222" i="19"/>
  <c r="P221" i="19"/>
  <c r="P220" i="19"/>
  <c r="P219" i="19"/>
  <c r="P218" i="19"/>
  <c r="P208" i="19"/>
  <c r="P205" i="19" s="1"/>
  <c r="P202" i="19"/>
  <c r="P196" i="19"/>
  <c r="P193" i="19" s="1"/>
  <c r="P191" i="19"/>
  <c r="P190" i="19" s="1"/>
  <c r="P187" i="19"/>
  <c r="P173" i="19"/>
  <c r="P170" i="19"/>
  <c r="P167" i="19"/>
  <c r="P166" i="19"/>
  <c r="P164" i="19"/>
  <c r="P163" i="19"/>
  <c r="P162" i="19"/>
  <c r="P161" i="19"/>
  <c r="P160" i="19"/>
  <c r="P159" i="19" s="1"/>
  <c r="P148" i="19"/>
  <c r="P144" i="19" s="1"/>
  <c r="P128" i="19"/>
  <c r="P125" i="19"/>
  <c r="P122" i="19" s="1"/>
  <c r="P119" i="19"/>
  <c r="P114" i="19" s="1"/>
  <c r="P109" i="19"/>
  <c r="P106" i="19" s="1"/>
  <c r="P105" i="19" s="1"/>
  <c r="P95" i="19"/>
  <c r="P94" i="19"/>
  <c r="P93" i="19"/>
  <c r="P92" i="19"/>
  <c r="P91" i="19"/>
  <c r="P90" i="19"/>
  <c r="P89" i="19"/>
  <c r="P88" i="19"/>
  <c r="P86" i="19"/>
  <c r="P77" i="19" s="1"/>
  <c r="P76" i="19"/>
  <c r="P67" i="19" s="1"/>
  <c r="P66" i="19"/>
  <c r="P62" i="19" s="1"/>
  <c r="P61" i="19"/>
  <c r="P54" i="19" s="1"/>
  <c r="P49" i="19"/>
  <c r="P46" i="19" s="1"/>
  <c r="P43" i="19"/>
  <c r="P27" i="19"/>
  <c r="P24" i="19"/>
  <c r="P19" i="19" s="1"/>
  <c r="P438" i="19" l="1"/>
  <c r="P403" i="19"/>
  <c r="P399" i="19"/>
  <c r="P87" i="19"/>
  <c r="P232" i="19"/>
  <c r="P231" i="19" s="1"/>
  <c r="P249" i="19"/>
  <c r="P341" i="19"/>
  <c r="P181" i="19"/>
  <c r="P320" i="19"/>
  <c r="P287" i="19"/>
  <c r="P313" i="19"/>
  <c r="P367" i="19"/>
  <c r="P199" i="19"/>
  <c r="P192" i="19" s="1"/>
  <c r="P217" i="19"/>
  <c r="P349" i="19"/>
  <c r="P184" i="19"/>
  <c r="P169" i="19" s="1"/>
  <c r="P104" i="19" s="1"/>
  <c r="P241" i="19"/>
  <c r="P279" i="19"/>
  <c r="P329" i="19"/>
  <c r="P354" i="19"/>
  <c r="P388" i="19"/>
  <c r="P262" i="19"/>
  <c r="P270" i="19"/>
  <c r="P295" i="19"/>
  <c r="P325" i="19"/>
  <c r="P374" i="19"/>
  <c r="P381" i="19"/>
  <c r="P414" i="19"/>
  <c r="P430" i="19"/>
  <c r="P254" i="19"/>
  <c r="P291" i="19"/>
  <c r="P304" i="19"/>
  <c r="P362" i="19"/>
  <c r="P407" i="19"/>
  <c r="P422" i="19"/>
  <c r="P52" i="19" l="1"/>
  <c r="P230" i="19"/>
  <c r="P340" i="19"/>
  <c r="P337" i="19" s="1"/>
  <c r="P335" i="19" s="1"/>
  <c r="P312" i="19"/>
  <c r="P395" i="19"/>
  <c r="P269" i="19"/>
  <c r="P18" i="19" l="1"/>
  <c r="P12" i="19" s="1"/>
  <c r="P99" i="13" l="1"/>
  <c r="P94" i="13"/>
  <c r="P91" i="13" s="1"/>
  <c r="L73" i="13"/>
  <c r="P73" i="13" s="1"/>
  <c r="L72" i="13"/>
  <c r="P72" i="13" s="1"/>
  <c r="L67" i="13"/>
  <c r="P67" i="13" s="1"/>
  <c r="P66" i="13" s="1"/>
  <c r="L64" i="13"/>
  <c r="P64" i="13" s="1"/>
  <c r="L63" i="13"/>
  <c r="P63" i="13" s="1"/>
  <c r="L62" i="13"/>
  <c r="P62" i="13" s="1"/>
  <c r="L61" i="13"/>
  <c r="P61" i="13" s="1"/>
  <c r="L60" i="13"/>
  <c r="P60" i="13" s="1"/>
  <c r="L59" i="13"/>
  <c r="P59" i="13" s="1"/>
  <c r="L58" i="13"/>
  <c r="P58" i="13" s="1"/>
  <c r="L57" i="13"/>
  <c r="P57" i="13" s="1"/>
  <c r="L56" i="13"/>
  <c r="P56" i="13" s="1"/>
  <c r="L55" i="13"/>
  <c r="P55" i="13" s="1"/>
  <c r="L52" i="13"/>
  <c r="P52" i="13" s="1"/>
  <c r="L51" i="13"/>
  <c r="P51" i="13" s="1"/>
  <c r="L50" i="13"/>
  <c r="P50" i="13" s="1"/>
  <c r="L49" i="13"/>
  <c r="P49" i="13" s="1"/>
  <c r="L48" i="13"/>
  <c r="P48" i="13" s="1"/>
  <c r="L47" i="13"/>
  <c r="P47" i="13" s="1"/>
  <c r="L46" i="13"/>
  <c r="P46" i="13" s="1"/>
  <c r="L45" i="13"/>
  <c r="P45" i="13" s="1"/>
  <c r="L44" i="13"/>
  <c r="P44" i="13" s="1"/>
  <c r="L43" i="13"/>
  <c r="P43" i="13" s="1"/>
  <c r="P41" i="13"/>
  <c r="P40" i="13"/>
  <c r="P39" i="13"/>
  <c r="L36" i="13"/>
  <c r="P36" i="13" s="1"/>
  <c r="L35" i="13"/>
  <c r="P35" i="13" s="1"/>
  <c r="L34" i="13"/>
  <c r="P34" i="13" s="1"/>
  <c r="L33" i="13"/>
  <c r="P33" i="13" s="1"/>
  <c r="P32" i="13" s="1"/>
  <c r="P21" i="13"/>
  <c r="P16" i="13" s="1"/>
  <c r="P54" i="13" l="1"/>
  <c r="P42" i="13"/>
  <c r="P11" i="13" s="1"/>
  <c r="P70" i="13"/>
  <c r="P82" i="12"/>
  <c r="P41" i="12"/>
  <c r="P38" i="12" s="1"/>
  <c r="P37" i="12" s="1"/>
  <c r="P75" i="12" l="1"/>
  <c r="P50" i="12"/>
  <c r="P62" i="12"/>
  <c r="P17" i="12"/>
  <c r="P61" i="12" l="1"/>
  <c r="P49" i="12"/>
  <c r="P31" i="12" s="1"/>
  <c r="P15" i="12" s="1"/>
  <c r="P83" i="11"/>
  <c r="P81" i="11"/>
  <c r="P76" i="11"/>
  <c r="P72" i="11" l="1"/>
  <c r="P10" i="12"/>
  <c r="P54" i="11"/>
  <c r="P36" i="11"/>
  <c r="P17" i="11"/>
  <c r="P30" i="11"/>
  <c r="P24" i="11"/>
  <c r="P16" i="11" s="1"/>
  <c r="P43" i="11"/>
  <c r="P50" i="11"/>
  <c r="P61" i="11"/>
  <c r="P70" i="10"/>
  <c r="P66" i="10"/>
  <c r="P52" i="10"/>
  <c r="P46" i="10"/>
  <c r="P28" i="10"/>
  <c r="P27" i="10"/>
  <c r="P26" i="10"/>
  <c r="P24" i="10"/>
  <c r="P23" i="10"/>
  <c r="P22" i="10"/>
  <c r="P21" i="10"/>
  <c r="P20" i="10"/>
  <c r="P19" i="10"/>
  <c r="P18" i="10"/>
  <c r="P46" i="9"/>
  <c r="P43" i="9" s="1"/>
  <c r="P131" i="8"/>
  <c r="P130" i="8"/>
  <c r="P129" i="8"/>
  <c r="P128" i="8"/>
  <c r="P126" i="8"/>
  <c r="P125" i="8"/>
  <c r="P124" i="8"/>
  <c r="P123" i="8"/>
  <c r="P121" i="8"/>
  <c r="P120" i="8"/>
  <c r="P119" i="8"/>
  <c r="P118" i="8"/>
  <c r="P117" i="8"/>
  <c r="P116" i="8"/>
  <c r="P115" i="8"/>
  <c r="P114" i="8"/>
  <c r="P113" i="8"/>
  <c r="P111" i="8"/>
  <c r="P110" i="8"/>
  <c r="P109" i="8"/>
  <c r="P108" i="8"/>
  <c r="P107" i="8"/>
  <c r="P106" i="8"/>
  <c r="P104" i="8"/>
  <c r="P103" i="8" s="1"/>
  <c r="P102" i="8"/>
  <c r="P101" i="8" s="1"/>
  <c r="P54" i="8"/>
  <c r="P51" i="8" s="1"/>
  <c r="P25" i="10" l="1"/>
  <c r="P49" i="10"/>
  <c r="P15" i="11"/>
  <c r="P10" i="11" s="1"/>
  <c r="P43" i="10"/>
  <c r="P37" i="10"/>
  <c r="P30" i="10"/>
  <c r="P63" i="10"/>
  <c r="P17" i="10"/>
  <c r="P55" i="10"/>
  <c r="P37" i="9"/>
  <c r="P17" i="9"/>
  <c r="P122" i="8"/>
  <c r="P127" i="8"/>
  <c r="P27" i="8"/>
  <c r="P112" i="8"/>
  <c r="P36" i="8"/>
  <c r="P105" i="8"/>
  <c r="P26" i="8" l="1"/>
  <c r="P15" i="8" s="1"/>
  <c r="P14" i="8"/>
  <c r="P10" i="8" s="1"/>
  <c r="P29" i="10"/>
  <c r="P16" i="10" s="1"/>
  <c r="P29" i="9"/>
  <c r="P16" i="9" s="1"/>
  <c r="P15" i="10"/>
  <c r="P10" i="10" s="1"/>
  <c r="P15" i="9"/>
  <c r="P10" i="9" s="1"/>
  <c r="P52" i="7"/>
  <c r="P51" i="7"/>
  <c r="P50" i="7"/>
  <c r="P49" i="7"/>
  <c r="P48" i="7"/>
  <c r="P45" i="7"/>
  <c r="P38" i="7" s="1"/>
  <c r="P29" i="7"/>
  <c r="P17" i="7"/>
  <c r="P62" i="6"/>
  <c r="P55" i="6" s="1"/>
  <c r="P49" i="6"/>
  <c r="P46" i="6" s="1"/>
  <c r="P31" i="6"/>
  <c r="P27" i="6" s="1"/>
  <c r="P24" i="6"/>
  <c r="P23" i="5"/>
  <c r="P22" i="5" s="1"/>
  <c r="P16" i="5" s="1"/>
  <c r="P10" i="5" s="1"/>
  <c r="P35" i="4"/>
  <c r="P34" i="4"/>
  <c r="P33" i="4"/>
  <c r="P20" i="4"/>
  <c r="P19" i="4"/>
  <c r="P17" i="4" s="1"/>
  <c r="P16" i="4" s="1"/>
  <c r="P50" i="3"/>
  <c r="P49" i="3"/>
  <c r="P48" i="3"/>
  <c r="P47" i="3"/>
  <c r="P46" i="3"/>
  <c r="P45" i="3"/>
  <c r="P44" i="3"/>
  <c r="P40" i="3"/>
  <c r="P39" i="3"/>
  <c r="P38" i="3"/>
  <c r="P37" i="3"/>
  <c r="P35" i="3"/>
  <c r="P34" i="3"/>
  <c r="P31" i="3"/>
  <c r="P30" i="3"/>
  <c r="P29" i="3"/>
  <c r="P22" i="3"/>
  <c r="P21" i="3"/>
  <c r="P20" i="3"/>
  <c r="P19" i="3"/>
  <c r="P17" i="3" s="1"/>
  <c r="P16" i="3" s="1"/>
  <c r="P25" i="3" l="1"/>
  <c r="P32" i="3"/>
  <c r="P41" i="3"/>
  <c r="P47" i="7"/>
  <c r="P25" i="7" s="1"/>
  <c r="P15" i="7" s="1"/>
  <c r="P10" i="7" s="1"/>
  <c r="P32" i="6"/>
  <c r="P15" i="6" s="1"/>
  <c r="P10" i="6" s="1"/>
  <c r="P32" i="4"/>
  <c r="P26" i="4" s="1"/>
  <c r="P10" i="4" s="1"/>
  <c r="P24" i="3" l="1"/>
  <c r="P10" i="3" s="1"/>
  <c r="P20" i="1"/>
  <c r="P55" i="1"/>
  <c r="P59" i="1"/>
  <c r="P60" i="1"/>
  <c r="P61" i="1"/>
  <c r="P62" i="1"/>
  <c r="P63" i="1"/>
  <c r="P58" i="1"/>
  <c r="P57" i="1" l="1"/>
  <c r="P54" i="1"/>
  <c r="P49" i="1"/>
  <c r="P50" i="1"/>
  <c r="P51" i="1"/>
  <c r="P48" i="1"/>
  <c r="P68" i="1"/>
  <c r="P69" i="1"/>
  <c r="P53" i="1" l="1"/>
  <c r="P47" i="1"/>
  <c r="P46" i="1" s="1"/>
  <c r="P42" i="1" l="1"/>
  <c r="P44" i="1"/>
  <c r="P43" i="1"/>
  <c r="P34" i="1"/>
  <c r="P31" i="1"/>
  <c r="P32" i="1"/>
  <c r="P33" i="1"/>
  <c r="P35" i="1"/>
  <c r="P30" i="1"/>
  <c r="P28" i="1" l="1"/>
  <c r="P41" i="1"/>
  <c r="P40" i="1"/>
  <c r="P39" i="1"/>
  <c r="P38" i="1"/>
  <c r="P24" i="1"/>
  <c r="P37" i="1" l="1"/>
  <c r="P27" i="1" l="1"/>
  <c r="P70" i="1"/>
  <c r="P66" i="1" s="1"/>
  <c r="P26" i="1" l="1"/>
  <c r="P23" i="1"/>
  <c r="P22" i="1" s="1"/>
  <c r="P18" i="1"/>
  <c r="P19" i="1"/>
  <c r="P21" i="1"/>
  <c r="P16" i="1" l="1"/>
  <c r="P15" i="1" l="1"/>
  <c r="P9" i="1" s="1"/>
</calcChain>
</file>

<file path=xl/sharedStrings.xml><?xml version="1.0" encoding="utf-8"?>
<sst xmlns="http://schemas.openxmlformats.org/spreadsheetml/2006/main" count="3688" uniqueCount="1777">
  <si>
    <t>กระทรวงอุตสาหกรรม</t>
  </si>
  <si>
    <t>กรมโรงงานอุตสาหกรรม</t>
  </si>
  <si>
    <t>ยุทธศาสตร์ / แผนงาน / ผลผลิต / กิจกรรม /
งบรายจ่าย / โครงการ / หลักสูตร / รายการ</t>
  </si>
  <si>
    <t>คำชี้แจง 
(เหตุผลความจำเป็นและผลประโยชน์ที่คาดว่าจะได้รับ)</t>
  </si>
  <si>
    <t>จัดสรร</t>
  </si>
  <si>
    <t>จ่ายจริง</t>
  </si>
  <si>
    <t>เบิกจ่าย</t>
  </si>
  <si>
    <t>จำนวน
ที่ปรึกษา
(คน)</t>
  </si>
  <si>
    <t>ระยะเวลา
(เดือน)</t>
  </si>
  <si>
    <t>อัตราที่ตั้ง</t>
  </si>
  <si>
    <t>รวมเงิน
(บาท)</t>
  </si>
  <si>
    <t>รวมทั้งสิ้น</t>
  </si>
  <si>
    <t>1. ที่ปรึกษาไทย</t>
  </si>
  <si>
    <t xml:space="preserve">   (1.1) บุคลากรหลัก</t>
  </si>
  <si>
    <t xml:space="preserve">   (1.2) บุคลากรสนับสนุน</t>
  </si>
  <si>
    <t>งบประมาณปี 2560</t>
  </si>
  <si>
    <t>ประสบการณ์
(ปี)</t>
  </si>
  <si>
    <t>คน-วัน</t>
  </si>
  <si>
    <t>ครั้ง</t>
  </si>
  <si>
    <t>ชุด</t>
  </si>
  <si>
    <t>ฉบับ</t>
  </si>
  <si>
    <t>รายงานฉบับสมบูรณ์ (Final Report)</t>
  </si>
  <si>
    <t xml:space="preserve">รายงานฉบับที่ 1 </t>
  </si>
  <si>
    <t>รายงานฉบับที่ 2</t>
  </si>
  <si>
    <t>รายงานฉบับที่ 3</t>
  </si>
  <si>
    <t>คน-คืน</t>
  </si>
  <si>
    <t>- ค่าวิทยากร (1,200 บาท x 6 ชม x 2 ครั้ง)</t>
  </si>
  <si>
    <t>4. การจัดทำเอกสารรายงาน</t>
  </si>
  <si>
    <t>งบประมาณปี 2561</t>
  </si>
  <si>
    <t>ผู้จัดการโครงการ ประสบการณ์ (ป.โท 12 ปี)</t>
  </si>
  <si>
    <t>ผู้เชี่ยวชาญด้านเศรษฐศาสตร์ (ป.โท 7 ปี)</t>
  </si>
  <si>
    <t>ผู้เชี่ยวชาญด้านการบำรุงรักษาเครื่องจักร (ป.โท 10 ปี)</t>
  </si>
  <si>
    <r>
      <t xml:space="preserve">1. </t>
    </r>
    <r>
      <rPr>
        <b/>
        <u/>
        <sz val="14"/>
        <rFont val="TH SarabunPSK"/>
        <family val="2"/>
      </rPr>
      <t>กิจกรรมให้ความรู้เรื่องการปรับเปลี่ยนเครื่องจักร</t>
    </r>
  </si>
  <si>
    <t>วัน</t>
  </si>
  <si>
    <t>- ค่าเช่ารถตู้ รวมน้ำมัน (2 วัน  x 2 ครั้ง)</t>
  </si>
  <si>
    <t>- ค่าอาหาร (อาหารกลางวัน อาหารว่าง 2 มื้อ x 100 คน x 2 ครั้ง)</t>
  </si>
  <si>
    <t>- ค่าที่พัก เจ้าหน้าที่เตรียมการ (3 ห้อง x 1 คืน  x 2 ครั้ง)</t>
  </si>
  <si>
    <t>- ค่าเบี้ยเลี้ยงเจ้าหน้าที่เตรียมการ (6 คน x 2 วัน  x 2 ครั้ง)</t>
  </si>
  <si>
    <t>- ค่าเบี้ยเลี้ยงเจ้าหน้าที่เตรียมการ (6 คน x 2 วัน  x 5 ครั้ง)</t>
  </si>
  <si>
    <r>
      <t xml:space="preserve">2. </t>
    </r>
    <r>
      <rPr>
        <b/>
        <u/>
        <sz val="14"/>
        <rFont val="TH SarabunPSK"/>
        <family val="2"/>
      </rPr>
      <t>กิจกรรมดำเนินการตรวจสอบและจัดทำรายงานการปรับเปลี่ยนเครื่องจักร</t>
    </r>
  </si>
  <si>
    <t>คน-เที่ยว (ไป-กลับ)</t>
  </si>
  <si>
    <t>ห้อง-วัน</t>
  </si>
  <si>
    <t xml:space="preserve">2.1 ดำเนินการตรวจสอบเครื่องจักรของผู้ประกอบการ </t>
  </si>
  <si>
    <t>- ค่าเอกสารประกอบการตรวจ (4 คน x 1 ชุด  x 2 ครั้ง)</t>
  </si>
  <si>
    <t>2.2 การจัดทำรายงานการปรับเปลี่ยนเครื่องจักร</t>
  </si>
  <si>
    <t xml:space="preserve">- ค่ารายงานการปรับเปลี่ยนเครื่องจักร </t>
  </si>
  <si>
    <t>เล่ม</t>
  </si>
  <si>
    <t>แผ่น</t>
  </si>
  <si>
    <t>เหมารวม</t>
  </si>
  <si>
    <t>1.1 การประชุมสัมมนาเครือข่าย โดยมีผู้เข้าร่วมสัมมนาไม่น้อยกว่า 200 คน จำนวน 2 ครั้ง</t>
  </si>
  <si>
    <t>- ค่าวิทยากร (1,200 บาท x 6 ชม x 5 ครั้ง x 2 วัน)</t>
  </si>
  <si>
    <t>- ค่าเช่ารถตู้ รวมน้ำมัน (3 วัน  x 5 ครั้ง)</t>
  </si>
  <si>
    <t>- ค่าที่พัก เจ้าหน้าที่เตรียมการ (3 ห้อง x 2 คืน  x 5 ครั้ง)</t>
  </si>
  <si>
    <t>1.2 การให้ความรู้ความเข้าใจผู้ประกอบการให้สามารถดำเนินการปรับเปลี่ยนเครื่องจักร จำนวน 5 ครั้ง ครั้งละ 2 วัน</t>
  </si>
  <si>
    <t>3. การเผยแพร่องค์ความรู้ให้แก่ผู้ประกอบการโดยผ่านสื่อต่างๆ เช่น เอกสารคู่มือ / ซีดีรอมข้อมูล / วีดิทัศน์ /แผ่นป้าย</t>
  </si>
  <si>
    <t>- จัดพิมพ์เอกสารหลักเกณฑ์/มาตรฐาน สำหรับผู้ประกอบการ</t>
  </si>
  <si>
    <t>- จัดทำ CD รวบรวมข้อมูลหลักเกณฑ์/มาตรฐาน</t>
  </si>
  <si>
    <t xml:space="preserve">- จัดทำ CD องค์ความรู้ด้านการปรับเปลี่ยนเครื่องจักรในรูปแบบต่างๆ เช่น วีดิทัศน์ </t>
  </si>
  <si>
    <t xml:space="preserve">- ค่าแผ่นพับ ขนาด A4 พิมพ์ 4 สี 2 หน้าพับ 3 ตอน </t>
  </si>
  <si>
    <t xml:space="preserve">- โปสเตอร์ ขนาด A2 พิมพ์ 4 สี </t>
  </si>
  <si>
    <t>- แผ่นป้ายไวนิล ขนาดประมาณ 1.2x2.4 เมตร</t>
  </si>
  <si>
    <t>- ค่าตอบแทนคณะกรรมการพิจารณาเครื่องจักรจากหน่วยงานภายนอก (10 คน x 10 ครั้ง)</t>
  </si>
  <si>
    <t>- ค่าอาหาร (อาหารกลางวัน/อาหารว่าง 2 มื้อ x 50 คน x 5 ครั้ง x 2 วัน)</t>
  </si>
  <si>
    <t>รายละเอียดงบประมาณปี 2562</t>
  </si>
  <si>
    <t>- ค่าที่พักวิทยากร (80 โรงงาน  x  2 คน x 3 คืน  x 2 ครั้ง)</t>
  </si>
  <si>
    <t>ผู้เชี่ยวชาญด้านวิศวกรรมเครื่องกล (ป.โท 10 ปี)</t>
  </si>
  <si>
    <t>ผู้เชี่ยวชาญด้านวิศวกรรมทั่วไป (ป.โท 10 ปี)</t>
  </si>
  <si>
    <t>เจ้าหน้าที่ประสานงาน (ป.ตรี 2 ปี)</t>
  </si>
  <si>
    <t>เจ้าหน้าที่บันทึกข้อมูล (ป.ตรี 2 ปี)</t>
  </si>
  <si>
    <t>- ค่าเช่ารถตู้ รวมน้ำมัน (45 โรงงาน x 3 วัน x 2 ครั้ง)</t>
  </si>
  <si>
    <t>- ค่าเครื่องบินวิทยากร (35 โรงงาน X 2 คน  x 2 ครั้ง)</t>
  </si>
  <si>
    <t>- ค่าสถานที่จัดประชุมและตกแต่งสถานที่ (15,000 บาท x 2 ครั้ง)</t>
  </si>
  <si>
    <t>- ค่าสถานที่จัดประชุมและตกแต่งสถานที่ (15,000 บาท x 5 ครั้ง)</t>
  </si>
  <si>
    <t>- จัดทำวีดีทัศน์องค์ความรู้ด้านการปรับเปลี่ยนเครื่องจักร ความยาวไม่เกิน 8 นาที</t>
  </si>
  <si>
    <t>- ค่าเอกสารการประชุม (100 คน x 70 บาท x 2 ครั้ง)</t>
  </si>
  <si>
    <t>- ค่าเอกสารการประชุม (50 คน x 70 บาท x 5 ครั้ง)</t>
  </si>
  <si>
    <t>กลุ่มวิชาชีพ</t>
  </si>
  <si>
    <t>ระดับการศึกษา</t>
  </si>
  <si>
    <t>ป.ตรี</t>
  </si>
  <si>
    <t>ป.โท</t>
  </si>
  <si>
    <t>ป.เอก</t>
  </si>
  <si>
    <t>วิศวกรรม</t>
  </si>
  <si>
    <t>เศรษฐศาสตร์</t>
  </si>
  <si>
    <t>ทั่วไป</t>
  </si>
  <si>
    <t>5. ค่าใช้จ่ายในการจ้างที่ปรึกษาชาวไทยและชาวต่างประเทศ  ประจำปีงบประมาณ พ.ศ. 2562</t>
  </si>
  <si>
    <t>5.2 แผนงานยุทธศาสตร์</t>
  </si>
  <si>
    <t>หน่วย : บาท</t>
  </si>
  <si>
    <t>เอกสาร
งบประมาณ</t>
  </si>
  <si>
    <t>ยุทธศาสตร์/แผนงาน/ผลผลิต/กิจกรรม/
งบรายจ่าย/โครงการ/หลักสูตร/รายการ</t>
  </si>
  <si>
    <t>เสนอปรับลด</t>
  </si>
  <si>
    <t>งบประมาณคงเหลือ</t>
  </si>
  <si>
    <t>คำชี้แจง (เหตุผลความจำเป็นและ
ผลประโยชน์ที่คาดว่าจะได้รับ)</t>
  </si>
  <si>
    <t xml:space="preserve">ประสบการณ์
(ปี)
</t>
  </si>
  <si>
    <t xml:space="preserve">ระยะเวลา
(เดือน)
</t>
  </si>
  <si>
    <t xml:space="preserve">อัตราที่ตั้ง
</t>
  </si>
  <si>
    <t>คอลัมน์/...)</t>
  </si>
  <si>
    <t>เล่มที่</t>
  </si>
  <si>
    <t>หน้าที่</t>
  </si>
  <si>
    <t>กิจกรรม : การบริหารจัดการขยะ</t>
  </si>
  <si>
    <t>รายการ ค่าใช้จ่ายในการช่วยเหลือและติดตามโรงงานที่ขาดการจัดการกากอุตสาหกรรม</t>
  </si>
  <si>
    <r>
      <rPr>
        <b/>
        <u/>
        <sz val="12"/>
        <rFont val="TH SarabunPSK"/>
        <family val="2"/>
      </rPr>
      <t>วัตถุประสงค์</t>
    </r>
    <r>
      <rPr>
        <sz val="12"/>
        <rFont val="TH SarabunPSK"/>
        <family val="2"/>
      </rPr>
      <t xml:space="preserve"> 1. เพื่อเป็นศูนย์กลางสำหรับให้คำปรึกษาแก่ผู้ประกอบการให้มีศักยภาพในการจัดการกากอุตสาหกรรมอย่างเป็นระบบโดยกิจกรรมภายในศูนย์ฯ ประกอบด้วยเจ้าหน้าที่ผู้เชี่ยวชาญด้านกากอุตสาหกรรม ที่จะให้คำปรึกษาและช่วยเหลือโรงงานทั้ง 76 จังหวัด ทั่วประเทศรวมทั้งกรุงเทพมหานคร
2. เพื่อเป็นศูนย์สนับสนุนพนักงานเจ้าหน้าที่ให้มีการบังคับใช้กฎหมายกับโรงงานที่ยังไม่เข้าระบบจัดการกากอุตสาหกรรมของกรมโรงงานอุตสาหกรรม
</t>
    </r>
  </si>
  <si>
    <t>(1.1) บุคลากรหลัก</t>
  </si>
  <si>
    <t>ผู้จัดการโครงการ</t>
  </si>
  <si>
    <t>วิศวกรรม/วิทยาศาสตร์</t>
  </si>
  <si>
    <t>ü</t>
  </si>
  <si>
    <t>15 ปี</t>
  </si>
  <si>
    <t>ผู้เชี่ยวชาญด้านการจัดการของเสีย</t>
  </si>
  <si>
    <t xml:space="preserve"> 7 ปี</t>
  </si>
  <si>
    <t>วิศวกร/นักวิทยาศาสตร์ด้านสิ่งแวดล้อม</t>
  </si>
  <si>
    <t>3 ปี</t>
  </si>
  <si>
    <t>เจ้าหน้าที่สนับสนุนโครงการ</t>
  </si>
  <si>
    <t xml:space="preserve"> 1 ปี</t>
  </si>
  <si>
    <t>(1.2) บุคลากรสนับสนุน</t>
  </si>
  <si>
    <t xml:space="preserve"> ผู้ประสานงานโครงการ</t>
  </si>
  <si>
    <t>สนับสนุน</t>
  </si>
  <si>
    <t>(1.3) งบดำเนินการ</t>
  </si>
  <si>
    <r>
      <rPr>
        <b/>
        <u/>
        <sz val="12"/>
        <rFont val="TH SarabunPSK"/>
        <family val="2"/>
      </rPr>
      <t>ผลประโยชน์ที่จะได้รับ</t>
    </r>
    <r>
      <rPr>
        <sz val="12"/>
        <rFont val="TH SarabunPSK"/>
        <family val="2"/>
      </rPr>
      <t xml:space="preserve"> ผู้ประกอบกิจการโรงงานที่ต้องต่ออายุใบอนุญาตการประกอบกิจการโรงงานในปี พ.ศ. 2561 มีการจัดการกากอุตสาหกรรมอย่างถูกต้องและเป็นไปตามกฎหมาย เข้าสู่ระบบการจัดการกากอุตสาหกรรม</t>
    </r>
  </si>
  <si>
    <t xml:space="preserve">    (1.3.1) จัดตั้งศูนย์ความช่วยเหลือใน 6 กลุ่มประสิทธิภาพ และกรุงเทพมหานคร</t>
  </si>
  <si>
    <t>จัดทำแผ่นพับประชาสัมพันธ์โครงการ ขนาด A5 สี่สี กระดาษอาร์ตมัน 130 gsm.  (5 บาท x 10000 แผ่น)</t>
  </si>
  <si>
    <t>จัดทำ Roll Up ประชาสัมพันธ์โครงการ (2000 บาท x 7 ชุด)</t>
  </si>
  <si>
    <t>ค่าเช่าสถานที่รวมอุปกรณ์สำนักงาน 7 ศูนย์ 7 เดือน</t>
  </si>
  <si>
    <t>ค่าเช่าอุปกรณ์คอมพิวเตอร์ เครื่องพิมพ์ หรือสิ่งอำนวยความสะดวกอื่นๆ ตามความเหมาะสม 7 ศูนย์ 7 เดือน</t>
  </si>
  <si>
    <t>ค่าเช่าโทรศัพท์มือถือติดต่อและค่าบริการ 7 ศูนย์ 7 เดือน</t>
  </si>
  <si>
    <t>ค่าอุปกรณ์สิ้นเปลืองต่างๆ และอื่นๆ (5000 บาท x 7 ศูนย์ x 7 เดือน)</t>
  </si>
  <si>
    <t xml:space="preserve">    (1.3.2) อบรมเจ้าหน้าที่สำนักงานอุตสาหกรรมจังหวัด กรมโรงงานอุตสาหกรรม และการนิคมอุตสาหกรรมแห่งประเทศไทย เพื่อให้มีความพร้อมในการแนะนำผู้ประกอบกิจการโรงงานให้สามารถปฏิบัติตามประกาศกระทรวงอุตสาหกรรม เรื่อง  การกำจัดสิ่งปฏิกูลหรือวัสดุที่ไม่ใช้แล้ว  พ.ศ. 2548 อย่างน้อย 8 ครั้ง ครั้งละไม่น้อยกว่า 20 คน</t>
  </si>
  <si>
    <t>ค่าอาหาร  (500 บาท x 25 คน x 8 ครั้ง)</t>
  </si>
  <si>
    <t>ค่าอาหารว่างและเครื่องดื่ม (50 บาท x 25 คน x 2 มื้อ x 8 ครั้ง)</t>
  </si>
  <si>
    <t>ค่าวิทยากร (600 บาท x 6 ชม x 8 ครั้ง x 2 คน)</t>
  </si>
  <si>
    <t>ค่าห้องประชุม 8 ครั้ง</t>
  </si>
  <si>
    <t>ค่าเอกสาร (70 บาท x 20 ชุด x 8 ครั้ง)</t>
  </si>
  <si>
    <t>ค่าโดยสาร (รถตู้) +  ค่าน้ำมัน (2500 บาท x 2 วัน x 8 ครั้ง)</t>
  </si>
  <si>
    <t>ค่าพาหนะเดินทางโดยเครื่องบิน (5000 บาท x 5 คน x 3 ครั้ง)</t>
  </si>
  <si>
    <t>ค่าที่พัก (1200 บาท x 5 ห้อง x 1 คืน x 8 ครั้ง)</t>
  </si>
  <si>
    <t>(1.3.3) จัดสัมนาสัญจร 6 กลุ่มประสิทธิภาพและ กทม. รวมกันอย่างน้อย 7 ครั้ง ครั้งละ 100 คน</t>
  </si>
  <si>
    <t>ติดต่อประสานงานโรงงาน (100 บาท x 1,000 โรงงาน)</t>
  </si>
  <si>
    <t>ค่าอาหาร  (500 บาท x 100 คน x 7 ครั้ง)</t>
  </si>
  <si>
    <t>ค่าอาหารว่างและเครื่องดื่ม (50 บาท x 100 คน x 2 มื้อ x 7 ครั้ง)</t>
  </si>
  <si>
    <t>ค่าวิทยากร (1200 บาท x 6 ชม x 7 ครั้ง)</t>
  </si>
  <si>
    <t>ค่าห้องประชุม  (3500 บาท x 7 ครั้ง)</t>
  </si>
  <si>
    <t>ค่าเอกสาร (70 บาท x 100 คน x 7 ครั้ง)</t>
  </si>
  <si>
    <t>ค่าโดยสาร (รถตู้) +  ค่าน้ำมัน    (2500 บาท x 7 ครั้ง x 2 วัน)</t>
  </si>
  <si>
    <t>ค่าที่พัก (1200 บาท x 5 ห้อง x 1 คืน x 7 ครั้ง)</t>
  </si>
  <si>
    <t>(1.3.4) ดำเนินการให้คำปรึกษา แนะนำ ติดตามโรงงานเป้าหมาย ผ่านกิจกรรมการสนับสนุน ส่งเสริม ทำความเข้าใจ และช่วยเหลือในการจัดการกากอุตสาหกรรมให้ถูกต้องตามกฎหมายแก่โรงงานอุตสาหกรรมที่ขาดการจัดการกากอุตสาหกรรม จำนวนไม่น้อยกว่า 9,000 โรงงาน ครอบคลุมทั้ง 6 ภูมิภาค ทั่วประเทศ</t>
  </si>
  <si>
    <t>ติดต่อประสานงานโรงงาน โดยเจ้าหน้าที่ศูนย์ฯ ติดต่อ (100 บาท x 10,000 โรงงาน)</t>
  </si>
  <si>
    <t>เอกสารส่งไปรษณีย์ติดตามไปยังโรงงานเป้าหมาย (50 บาท x 10,000 โรงงาน)</t>
  </si>
  <si>
    <t>ค่าเช่ารถ รวมน้ำมัน (2500 บาท x 154 วัน)</t>
  </si>
  <si>
    <t xml:space="preserve">ค่าพาหนะเดินทางโดยเครื่องบิน (5000 บาท x 2 คน x 6 เดือน x 2 ครั้ง) </t>
  </si>
  <si>
    <t>ค่าที่พักผู้เชี่ยวชาญ (1200 บาท x 2 ห้อง x 2 คืน x 6 เดือน x 2 ครั้ง)</t>
  </si>
  <si>
    <t>เอกสารคำขออนุญาตและคู่มือประชาชน  (70 บาท x 9000 ชุด)</t>
  </si>
  <si>
    <t>การดำเนินการจัดสัมมนา+ประชุมกลุ่มย่อย (อย่างน้อย 20 ครั้ง อย่างน้อยครั้งละ 30 คน)</t>
  </si>
  <si>
    <t xml:space="preserve">   ค่าอาหาร  (500 บาท x 30 คน x 20 ครั้ง)</t>
  </si>
  <si>
    <t xml:space="preserve">   ค่าอาหารว่างและเครื่องดื่ม (50 บาท x 30 คน x 2 มื้อ x 20 ครั้ง)</t>
  </si>
  <si>
    <t xml:space="preserve">   ค่าห้องประชุม  (3500 บาท x 20 ครั้ง)</t>
  </si>
  <si>
    <t xml:space="preserve">   ค่าเอกสาร (70 บาท x 30 คน x 20 ครั้ง)</t>
  </si>
  <si>
    <t xml:space="preserve">   ค่าวิทยากร (1200 บาท x 6 ชม x 20 ครั้ง)</t>
  </si>
  <si>
    <t xml:space="preserve">   ค่าโดยสาร (รถตู้) +  ค่าน้ำมัน    (2500 บาท x 14 ครั้ง x 2 วัน)</t>
  </si>
  <si>
    <t xml:space="preserve">  'ค่าพาหนะเดินทางโดยเครื่องบิน (5000 บาท x 5 คน x 6 ครั้ง)</t>
  </si>
  <si>
    <t xml:space="preserve">   ค่าที่พัก (1200 บาท x 5 ห้อง x 1 คืน x 20 ครั้ง)</t>
  </si>
  <si>
    <t>ช่องทางการให้คำปรึกษา/แนะนำ/ประชาสัมพันธ์การรับรู้ของประชาชน โรงงาน หน่วยงานภาครัฐที่เกี่ยวข้องผ่านทางเว็บ (เหมาจ่าย)</t>
  </si>
  <si>
    <t>เหมาจ่าย</t>
  </si>
  <si>
    <t xml:space="preserve">(1.3.5) สนับสนุนและผลักดันให้ รง. ต้องขอ สก.2 จำนวน 500 รง. (เหมาจ่าย) </t>
  </si>
  <si>
    <t>(1.3.6) ค่าจัดทำรายงาน</t>
  </si>
  <si>
    <t xml:space="preserve"> - รายงานเบื้องต้น (600 บาท x 14 เล่ม)</t>
  </si>
  <si>
    <t xml:space="preserve"> - รายงานความก้าวหน้าครั้งที่ 1 (800 บาท x 14 เล่ม)</t>
  </si>
  <si>
    <t xml:space="preserve"> - รายงานความก้าวหน้าครั้งที่ 2 (1000 บาท x 14 เล่ม)</t>
  </si>
  <si>
    <t xml:space="preserve"> - รายงานความก้าวหน้าครั้งที่ 3 (1300 บาท x 14 เล่ม)</t>
  </si>
  <si>
    <t xml:space="preserve"> - รายงานฉบับสมบูรณ์</t>
  </si>
  <si>
    <t xml:space="preserve">    1) รายงานฉบับสมบูรณ์  (1700 บาท x 14 เล่ม)</t>
  </si>
  <si>
    <t xml:space="preserve">    2) รายงานสรุปสำหรับผู้บริหารภาษาไทยและภาษาอังกฤษ (600 บาท x 10 เล่ม)</t>
  </si>
  <si>
    <t xml:space="preserve">    3) ค่า CD รายงาน (10 บาท x 5 ชุด)</t>
  </si>
  <si>
    <t>(1.3.7) ค่าใช้จ่ายเบ็ดเตล็ด</t>
  </si>
  <si>
    <t>หมายเหตุ</t>
  </si>
  <si>
    <t xml:space="preserve"> 1. รายละเอียดโครงการแนบท้ายแบบฟอร์มนี้</t>
  </si>
  <si>
    <t>5.2 แผนงานบูรณาการ</t>
  </si>
  <si>
    <t>งบประมาณปี 2559</t>
  </si>
  <si>
    <t xml:space="preserve">จำนวนที่
ปรึกษา (คน)
</t>
  </si>
  <si>
    <t>รายการ : ค่าใช้จ่ายในการพัฒนาและยกระดับผู้ประกอบการจัดการของเสียอันตรายภาคอุตสาหกรรม</t>
  </si>
  <si>
    <t>- ผู้จัดการโครงการ</t>
  </si>
  <si>
    <t>วัตถุประสงค์</t>
  </si>
  <si>
    <t>- ผู้เชี่ยวชาญด้านการบริหารจัดการของเสีย</t>
  </si>
  <si>
    <t>7 ปี</t>
  </si>
  <si>
    <t>- ผู้เชี่ยวชาญด้านการตรวจประเมินสิ่งแวดล้อม</t>
  </si>
  <si>
    <t>- ผู้เชี่ยวชาญด้านกระบวนการผลิต</t>
  </si>
  <si>
    <t>- ผู้เชี่ยวชาญด้านสิ่งแวดล้อม</t>
  </si>
  <si>
    <t>- วิศวกรหรือนักวิทยาศาสตร์สิ่งแวดล้อม</t>
  </si>
  <si>
    <t xml:space="preserve"> - ผู้ประสานงานโครงการ</t>
  </si>
  <si>
    <t>1 ปี</t>
  </si>
  <si>
    <t>ผลประโยชน์ที่จะได้รับ</t>
  </si>
  <si>
    <t>(1.3) ค่าใช้จ่ายที่ที่ปรึกษาดำเนินการ</t>
  </si>
  <si>
    <t>(1.3.1) ค่าจัดงานเชิญชวน รับสมัคร และคัดเลือกผู้เข้าร่วมโครงการ</t>
  </si>
  <si>
    <t xml:space="preserve">  - ค่าอาหารกลางวัน (500 บาท x 150 คน x 1 มื้อ)</t>
  </si>
  <si>
    <t xml:space="preserve">  - ค่าอาหารว่างและเครื่องดื่ม (50 บาท x 2 มื้อ x 150 คน)</t>
  </si>
  <si>
    <t xml:space="preserve">  - ค่าเอกสาร (100 บาท x 150 คน)</t>
  </si>
  <si>
    <t>(1.3.2) ค่าฝึกอบรมหลักสูตรผู้ตรวจประเมินระบบการจัดการสิ่งแวดล้อม (10 คน x30,000 บาท)</t>
  </si>
  <si>
    <t>(1.3.3) ค่าใช้จ่ายภาคสนาม (เข้าให้คำปรึกษา 2 ครั้ง + 1 ครั้ง ตรวจประเมิน 40 โรงงาน)</t>
  </si>
  <si>
    <t xml:space="preserve"> - ค่าที่พัก (ครั้งละ 2 คืน*3 ครั้ง/โรงงาน*40 โรงงาน* 4 คน/โรงงาน ) คืนละ 1,000 บาท </t>
  </si>
  <si>
    <t>- ค่าเบี้ยเลี้ยง (ครั้งละ 2 วัน*3 ครั้ง/โรงงาน*40 โรงงาน * 4 คน/โรงงาน ) วันละ 240 บาท-วัน</t>
  </si>
  <si>
    <t xml:space="preserve"> - ค่าพาหนะ (ครั้งละ 2 วัน*3 ครั้ง/โรงงาน*40 โรงงาน รถตู้ +ค่าเชื้อเพลิง 2500 บาท)</t>
  </si>
  <si>
    <t>(1.3.4) ค่าใช้จ่ายภาคสนาม (1 ครั้ง ตรวจประเมิน 10 โรงงาน)</t>
  </si>
  <si>
    <t xml:space="preserve"> - ค่าที่พัก (ครั้งละ 1 คืน*1 ครั้ง/โรงงาน*10 โรงงาน* 4 คน/โรงงาน ) คืนละ 1,000 บาท </t>
  </si>
  <si>
    <t>- ค่าเบี้ยเลี้ยง (ครั้งละ 2 วัน*1 ครั้ง/โรงงาน*10 โรงงาน * 4 คน/โรงงาน ) วันละ 240 บาท-วัน</t>
  </si>
  <si>
    <t xml:space="preserve"> - ค่าพาหนะ (ครั้งละ 2 วัน*1 ครั้ง/โรงงาน*10 โรงงาน รถตู้ +ค่าเชื้อเพลิง 2500 บาท)</t>
  </si>
  <si>
    <t>(1.3.5) ค่าใช้จ่ายในการสรุปผลโครงการและมอบรางวัลแก่โรงงาน</t>
  </si>
  <si>
    <t xml:space="preserve"> - ค่าอาหารกลางวัน (500 บาท x 150 คน x 1 มื้อ)</t>
  </si>
  <si>
    <t xml:space="preserve"> - ค่าอาหารว่างและเครื่องดื่ม (50 บาท x 2 มื้อ x 150 คน)</t>
  </si>
  <si>
    <t xml:space="preserve"> - ค่าเอกสาร (ชุดละ 100 บาท x 150 ชุด)</t>
  </si>
  <si>
    <t xml:space="preserve"> - ค่าจัดทำโล่ประกาศระดับรางวัล (85 ชิ้น x 2000 บาท)</t>
  </si>
  <si>
    <t xml:space="preserve"> - ค่าจัดทำเอกสารเผยแพร่ความสำเร็จของโรงงานที่ได้รับรางวัล (1000 บาท x 150 เล่ม)</t>
  </si>
  <si>
    <t xml:space="preserve"> - ค่าจัดทำเอกสารเผยแพร่หลักปฏิบัติการจัดการของเสียที่ดี (1200 บาท x 150 เล่ม)</t>
  </si>
  <si>
    <t>(1.3.6) จัดทำรายงาน</t>
  </si>
  <si>
    <t xml:space="preserve"> - รายงานฉบับเบื้องต้น  (9 เล่ม x 600 บาท)</t>
  </si>
  <si>
    <t xml:space="preserve"> - รายงานความก้าวหน้าครั้งที่ 1 (9 เล่ม x 800 บาท)</t>
  </si>
  <si>
    <t xml:space="preserve"> - รายงานความก้าวหน้าครั้งที่ 2 (9 เล่ม x 800บาท)</t>
  </si>
  <si>
    <t xml:space="preserve"> - รายงานความก้าวหน้าครั้งที่ 3 (9 เล่ม x 800บาท)</t>
  </si>
  <si>
    <t xml:space="preserve"> - รายงานฉบับฉบับสมบูรณ์และรายงานสรุปผู้บริหาร (20 เล่ม x 1,200บาท)</t>
  </si>
  <si>
    <t xml:space="preserve">(1.3.5) การดำเนินการเผยแพร่โครงการ เช่น สถานีโทรทัศน์ สถานีวิทยุ สื่อสิ่งพิมพ์ แผ่นพับ สื่ออิเล็กทรอนิกส์ เว็ปไซด์โครงการ วัสดุสิ้นเปลือง แผ่นดิสก์/CD/ค่าอัดภาพ  </t>
  </si>
  <si>
    <t>(1.3.6) ค่าใช้จ่ายเบ็ดเตล็ด</t>
  </si>
  <si>
    <t>(1.4) ค่าใช้จ่ายที่ดำเนินการเอง</t>
  </si>
  <si>
    <t>ค่าตรวจติดตามโรงงานเพื่อรักษารางวัลระดับเหรียญทอง (1 ครั้ง 35 โรงงาน)</t>
  </si>
  <si>
    <t xml:space="preserve"> - ค่าที่พัก (ครั้งละ 1 คืน*1 ครั้ง/โรงงาน*35 โรงงาน* 3 คน/โรงงาน ) คืนละ 800 บาท </t>
  </si>
  <si>
    <t>- ค่าเบี้ยเลี้ยงเจ้าหน้าที่ (ครั้งละ 2 วัน*1 ครั้ง/โรงงาน*35 โรงงาน * 3 คน/โรงงาน ) วันละ 240 บาท-วัน</t>
  </si>
  <si>
    <t xml:space="preserve"> - ค่าพาหนะ (ครั้งละ 2 วัน*1 ครั้ง/โรงงาน*35 โรงงาน รถตู้ +ค่าเชื้อเพลิง 2500 บาท)</t>
  </si>
  <si>
    <t xml:space="preserve"> - ค่าพาหนะ (35 โรงงาน x 3 คน x 500 บาท )</t>
  </si>
  <si>
    <t>จำนวนที่
ปรึกษา (คน)</t>
  </si>
  <si>
    <t xml:space="preserve">     ระยะเวลา
(เดือน)
</t>
  </si>
  <si>
    <t>รายการ ค่าใช้จ่ายในการปรับปรุงและพัฒนาระบบสารสนเทศการจัดการกากของเสียอุตสาหกรรม</t>
  </si>
  <si>
    <t>- ผู้เชี่ยวชาญด้านระบบฐานข้อมูล</t>
  </si>
  <si>
    <t xml:space="preserve"> 10 ปี</t>
  </si>
  <si>
    <t>- นักเขียนโปรแกรม</t>
  </si>
  <si>
    <t>10 ปี</t>
  </si>
  <si>
    <t xml:space="preserve">       - นักวิเคราะห์ระบบ</t>
  </si>
  <si>
    <t xml:space="preserve"> 5 ปี</t>
  </si>
  <si>
    <t xml:space="preserve">     -  ผู้ประสานงานโครงการ</t>
  </si>
  <si>
    <t>(1.3.1) ค่าใช้จ่ายในการจัดประชุมรับฟังความคิดเห็น</t>
  </si>
  <si>
    <t xml:space="preserve"> - ค่าอาหาร (500 บาท x 50 คน x 1มื้อ)</t>
  </si>
  <si>
    <t xml:space="preserve"> - ค่าอาหารว่างและเครื่องดื่ม ( 50 บาท x 50 คนx 2 มื้อ )</t>
  </si>
  <si>
    <t xml:space="preserve"> - ค่าเอกสาร (ชุดละ 100 บาท x 50 ชุด)</t>
  </si>
  <si>
    <t xml:space="preserve">      - ค่าเช่าห้องประชุมและโสตทัศนนูปกรณ์</t>
  </si>
  <si>
    <t>(1.3.2) ค่าจัดประชุม/อบรม การใช้งานระบบกลุ่มผู้ประกอบการ</t>
  </si>
  <si>
    <t xml:space="preserve"> - ค่าวิทยากร (2 คน x3 ชม.x 1,200 บาท)</t>
  </si>
  <si>
    <t xml:space="preserve"> - ค่าเช่าห้องประชุมและโสตทัศนนูปกรณ์</t>
  </si>
  <si>
    <t>(1.3.3) ค่าจัดประชุม/อบรม การใช้งานระบบกลุ่มเจ้าหน้าที่</t>
  </si>
  <si>
    <t xml:space="preserve"> - ค่าอาหาร (500 บาท x 20 คน x 1มื้อ)</t>
  </si>
  <si>
    <t xml:space="preserve"> - ค่าเอกสาร (ชุดละ 100 บาท x 20 ชุด)</t>
  </si>
  <si>
    <t>(1.3.4) จัดทำรายงาน</t>
  </si>
  <si>
    <t xml:space="preserve"> - รายงานฉบับเบื้องต้น  (9 เล่ม x 500 บาท)</t>
  </si>
  <si>
    <t xml:space="preserve"> - รายงานความก้าวหน้าครั้งที่ 2 (9 เล่ม x 800 บาท)</t>
  </si>
  <si>
    <t xml:space="preserve"> - รายงานความก้าวหน้าครั้งที่ 3 (9 เล่ม x 800 บาท)</t>
  </si>
  <si>
    <t xml:space="preserve"> - รายงานฉบับฉบับสมบูรณ์และรายงานสรุปสำหรับผู้บริหาร   (14 เล่ม x 1,200 บาท)</t>
  </si>
  <si>
    <t>(1.3.5) ค่าบำรุงรักษาระบบ/อุปกรณ์</t>
  </si>
  <si>
    <t xml:space="preserve">      (1.3.6) การดำเนินการเผยแพร่โครงการ เช่น สื่อสิ่งพิมพ์ แผ่นพับสื่ออิเล็กทรอนิกส์ เว็ปไซด์โครงการ วัสดุสิ้นเปลือง แผ่นดิสก์ /CD/ ค่าอัดภาพ</t>
  </si>
  <si>
    <t xml:space="preserve">(1.3.7) ค่าปรับปรุงระบบงานเดิม </t>
  </si>
  <si>
    <t>(1.3.8) ค่าพัฒนาปรับปรุง โปรแกรมการเชื่อมโยงระบบต่างๆที่เกี่ยวข้อง</t>
  </si>
  <si>
    <t xml:space="preserve">      (1.3.9) ค่าใช้จ่ายเบ็ดเตล็ด</t>
  </si>
  <si>
    <t xml:space="preserve"> หน่วย : ล้านบาท (ทศนิยม 4 ตำแหน่ง)</t>
  </si>
  <si>
    <t>ต่อครั้ง</t>
  </si>
  <si>
    <t>โรงงานที่เข้าร่วมโครงการ ได้รับความรู้ความเข้าใจในการจัดการกากอุตสาหกรรมตามหลัก 3Rs และโรงงานผู้รับบำบัด/กำจัด ได้รับการยกระดับมาตรฐานการจัดการของเสีย เกิดการจัดการอย่างยั่งยืน</t>
  </si>
  <si>
    <t>-  ผู้จัดการโครงการ</t>
  </si>
  <si>
    <t>ป.โท / 15 ปี</t>
  </si>
  <si>
    <t>-  ผู้เชี่ยวชาญด้านการบริหารจัดการของเสีย</t>
  </si>
  <si>
    <t>ป.โท / 7 ปี</t>
  </si>
  <si>
    <t>-  ผู้เชี่ยวชาญด้านกระบวนการผลิต</t>
  </si>
  <si>
    <t>-  ผู้เชี่ยวชาญด้านการใช้เครื่องมือสนับสนุนการทำกิจกรรม 3 Rs</t>
  </si>
  <si>
    <t>-  วิศวกรหรือนักวิทยาศาสตร์สิ่งแวดล้อม</t>
  </si>
  <si>
    <t>ป.ตรี / 3 ปี</t>
  </si>
  <si>
    <t>ป.ตรี / 1 ปี</t>
  </si>
  <si>
    <t xml:space="preserve">    (1.3.1) ค่าชี้แจงรายละโครงการและรับสมัครโรงงาน</t>
  </si>
  <si>
    <t xml:space="preserve">  - จดหมายเชิญชวน (เหมาจ่าย)</t>
  </si>
  <si>
    <t xml:space="preserve">    (1.3.2) ค่าใช้จ่ายภาคสนาม (เข้าให้คำปรึกษา 2 ครั้ง                 และตรวจประเมิน 1 ครั้ง)</t>
  </si>
  <si>
    <t xml:space="preserve"> - ค่าที่พัก (ครั้งละ 2 คืน*3 ครั้ง/โรงงาน*50 โรงงาน* 3 คน/โรงงาน ) คืนละ 1,000 บาท x 3 คน</t>
  </si>
  <si>
    <t>- ค่าเบี้ยเลี้ยง (ครั้งละ 2 วัน*3 ครั้ง/โรงงาน*50 โรงงาน * 3 คน/โรงงาน ) วันละ 240 บาท-วัน</t>
  </si>
  <si>
    <t xml:space="preserve"> - ค่าพาหนะ (ครั้งละ 2 วัน*3 ครั้ง/โรงงาน*50 โรงงาน รถตู้ +ค่าเชื้อเพลิง 2,500 บาท)</t>
  </si>
  <si>
    <t xml:space="preserve">    (1.3.3) จัดประชุมกลุ่มย่อยเพื่อแลกเปลี่ยนผลการดำเนินงาน ประมาณ 70 คน</t>
  </si>
  <si>
    <t xml:space="preserve">  - ค่าอาหารกลางวัน (500 บาท x 50 คน x 1 มื้อ) 50 รง.</t>
  </si>
  <si>
    <t xml:space="preserve">  - ค่าอาหารว่างและเครื่องดื่ม (50 บาท x 2 มื้อ x 50 คน)</t>
  </si>
  <si>
    <t xml:space="preserve">  - ค่าเอกสาร (100 บาท x 50 คน)</t>
  </si>
  <si>
    <t>(1.3.4) ค่าใช้จ่ายในการเผยแพร่ผลสรุปโครงการ</t>
  </si>
  <si>
    <t xml:space="preserve"> - ค่าเอกสาร (ชุดละ100 บาท x 150 ชุด)</t>
  </si>
  <si>
    <t>50 รง. ผ่าน 3Rs+ 35 รง. Zero waste</t>
  </si>
  <si>
    <t xml:space="preserve"> - ค่าจัดทำเอกสารเผยแพร่ความสำเร็จของโรงงานที่ได้รับรางวัล (350 บาท x 250 เล่ม)</t>
  </si>
  <si>
    <t>(1.3.5) จัดทำรายงาน</t>
  </si>
  <si>
    <t xml:space="preserve"> - รายงานฉบับเบื้องต้น  (8 เล่ม x 600 บาท)</t>
  </si>
  <si>
    <t xml:space="preserve"> - รายงานความก้าวหน้าครั้งที่ 1 (8 เล่ม x 800 บาท)</t>
  </si>
  <si>
    <t xml:space="preserve"> - รายงานความก้าวหน้าครั้งที่ 2 (8 เล่ม x 800บาท)</t>
  </si>
  <si>
    <t xml:space="preserve"> - ร่างรายงานฉบับสมบูรณ์ (8 เล่ม x 1,000บาท)</t>
  </si>
  <si>
    <t xml:space="preserve"> - รายงานฉบับฉบับสมบูรณ์และรายงานสรุปผู้บริหาร            (10 เล่ม x 1,200บาท)</t>
  </si>
  <si>
    <t xml:space="preserve"> (1.3.6)  ค่าใช้จ่ายในการศึกษาศักยภาพของเสียที่สามารถนำไปใช้ในรูปแบบพลังงาน (การหาข้อมูลทั้งปฐมภูมิและทุติยภูมิ) </t>
  </si>
  <si>
    <t>การวิเคราะห์ทดสอบของเสียที่สนใจหรือที่สามารถมีแนวโน้มนำมาใช้ในรูปแบบพลังงาน</t>
  </si>
  <si>
    <t>การวิเคราะห์ข้อมูลทั้งข้อมูลปฐมภูมิและทุติยภูมิ (เหมาจ่าย)</t>
  </si>
  <si>
    <t xml:space="preserve">     (1.3.7) การดำเนินการเผยแพร่โครงการ เช่น สื่อสิ่งพิมพ์ แผ่นพับสื่ออิเล็กทรอนิกส์ เว็ปไซด์โครงการ วัสดุสิ้นเปลือง แผ่นดิสก์ /CD/ ค่าอัดภาพ</t>
  </si>
  <si>
    <t>50000x1</t>
  </si>
  <si>
    <t>ค่า CD บันทึกข้อมูลคู่มือและรายงานความก้าวหน้าทุกฉบับ</t>
  </si>
  <si>
    <t>ค่าแผ่นพับ (แผ่นละ 2 บาท x500 แผ่น)</t>
  </si>
  <si>
    <t>ค่าเว็บไซต์โครงการฯ ตลอดระยะเวลาโครงการ</t>
  </si>
  <si>
    <t xml:space="preserve">จัดทำวีดีทัศน์สรุปผลการดำเนินงาน ความยาวไม่เกิน 5 นาที </t>
  </si>
  <si>
    <t xml:space="preserve"> - ค่าบรรยาย ค่าพากษ์ (2 คน คนละ 2000 บาท)</t>
  </si>
  <si>
    <t xml:space="preserve"> - ค่าช่างภาพโทรทัศน์ (2 คน คนละ 2000 บาท)</t>
  </si>
  <si>
    <t xml:space="preserve"> - ค่าควบคุมเสียง (2คน x 1000 บาท)</t>
  </si>
  <si>
    <t xml:space="preserve"> - ค่าควบคุมแสง (2คน x 1000 บาท)</t>
  </si>
  <si>
    <t xml:space="preserve"> - ค่าผู้แผลิตดนตรีและเพลง (แต่งทำนอง)</t>
  </si>
  <si>
    <t xml:space="preserve"> - ค่าผู้แผลิตดนตรีและเพลง (เรียบเรียงเสียงประสาน)</t>
  </si>
  <si>
    <t xml:space="preserve"> - ค่าบทวิดีทัศน์ ไม่เกิน 5 นาที</t>
  </si>
  <si>
    <t xml:space="preserve"> - ค่าเขียนคู่มือ/ค่าเขียนเอกสารประกอบหน้า A4 (6 หน้า หน้าละ 300 บาท)</t>
  </si>
  <si>
    <t xml:space="preserve"> - ค่าผู้จัดรวบรวมข้อมูล ไม่เกิน 3 นาที 1 รายการ</t>
  </si>
  <si>
    <t xml:space="preserve"> - ค่าผู้ตัดต่อวิดีทัศน์ (3วัน วันละ 3000 บาท)</t>
  </si>
  <si>
    <t xml:space="preserve"> (ค่าใช้ตามสำนักงบประมาณ)</t>
  </si>
  <si>
    <t xml:space="preserve"> - ค่าออกแบบและจัดทำภาพคอมพิวเตอร์กราฟฟิกแบบแบบเคลื่อนไหว (4 นาที วินาทีละ 300 บาท)</t>
  </si>
  <si>
    <t xml:space="preserve"> - ค่าตอบแทนในการออกแบบฉาก (3 ฉาก ฉากละ 4500 บาท)</t>
  </si>
  <si>
    <t>ค่า pop up</t>
  </si>
  <si>
    <t>ค่า roll up</t>
  </si>
  <si>
    <t>รายการ : ค่าใช้จ่ายในการเพิ่มประสิทธิภาพโรงงานคัดแยกและรีไซเคิลซากผลิตภัณฑ์ไฟฟ้าและอิเล็กทรอนิกส์</t>
  </si>
  <si>
    <t>เพื่อศึกษาและพัฒนากระบวนการคัดแยกและรีไซเคิลซากผลิตภัณฑ์เครื่องใช้ไฟฟ้าและอิเล็กทรอนิกส์ให้มีประสิทธิภาพเพิ่มมากขึ้นและครบวงจร</t>
  </si>
  <si>
    <t xml:space="preserve"> 15 ปี</t>
  </si>
  <si>
    <t>-  ผู้เชี่ยวชาญด้านการจัดการของเสีย</t>
  </si>
  <si>
    <t>-  ผู้เชี่ยวชาญด้านการตรวจประเมินสิ่งแวดล้อม</t>
  </si>
  <si>
    <t xml:space="preserve">        -  ผู้เชี่ยวชาญด้านสิ่งแวดล้อม</t>
  </si>
  <si>
    <t xml:space="preserve"> 3 ปี</t>
  </si>
  <si>
    <t xml:space="preserve"> 2 ปี</t>
  </si>
  <si>
    <t xml:space="preserve">    (1.3.1) ประชาสัมพันธ์และเผยแพร่ข้อมูลโครงการ</t>
  </si>
  <si>
    <t>- จัดทำแผ่นพับ (แผ่นละ 5 บาท x200 แผ่น)</t>
  </si>
  <si>
    <t>- จัดทำเว็บไซต์ประชาสัมพันธ์และเผยแพร่ข้อมูลโครงการฯ</t>
  </si>
  <si>
    <t xml:space="preserve">   (1.3.2) ชี้แจงรายละเอียดโครงการ</t>
  </si>
  <si>
    <t>- ค่าอาหารกลางวัน (500 บาท/มื้อ)</t>
  </si>
  <si>
    <t>- ค่าอาหารว่างและเครื่องดื่ม (50 บาท x 2 มื้อ x 80 คน)</t>
  </si>
  <si>
    <t>- ค่าเอกสาร (100 บาท/ชุด)</t>
  </si>
  <si>
    <t>- ค่าเช่าอุปกรณ์การประชุม</t>
  </si>
  <si>
    <t xml:space="preserve">    (1.3.3) ค่าใช้จ่ายภาคสนาม (เข้าให้คำปรึกษา 3 ครั้ง)                 </t>
  </si>
  <si>
    <t xml:space="preserve"> - ค่าที่พัก (ครั้งละ 1 คืน*3 ครั้ง/โรงงาน*20 โรงงาน* 3 คน/โรงงาน ) คืนละ 1,200 บาท</t>
  </si>
  <si>
    <t>- ค่าเบี้ยเลี้ยง (ครั้งละ 2 วัน*3 ครั้ง/โรงงาน*20 โรงงาน * 3 คน/โรงงาน ) วันละ 240 บาท-วัน</t>
  </si>
  <si>
    <t xml:space="preserve"> - ค่าพาหนะ (ครั้งละ 2 วัน*3 ครั้ง/โรงงาน*20 โรงงาน รถตู้ +ค่าเชื้อเพลิง 2500 บาท</t>
  </si>
  <si>
    <t>(1.3.4) จัดพิธีมอบรางวัล/สัมมนาเผยแพร่ผลการดำเนินงาน  (จำนวน 100 คน)</t>
  </si>
  <si>
    <t xml:space="preserve"> - ค่าอาหารกลางวัน (500 บาท x 100 คน x 1 มื้อ)</t>
  </si>
  <si>
    <t xml:space="preserve"> - ค่าอาหารว่างและเครื่องดื่ม (50 บาท x 2 มื้อ x 100 คน)</t>
  </si>
  <si>
    <t xml:space="preserve"> - ค่าเอกสาร (ชุดละ 100 บาท x 100 ชุด)</t>
  </si>
  <si>
    <t>- ค่าจัดทำประกาศนียบัตร 20 โรงงาน</t>
  </si>
  <si>
    <t>- ค่าจัดทำโล่ประกาศระดับรางวัล 20 โรงงาน</t>
  </si>
  <si>
    <t>- ค่าจัดทำเอกสารเผยแพร่ความสำเร็จของโรงงานที่ได้รับรางวัล 150 ชุด</t>
  </si>
  <si>
    <t>- ค่าจัดทำเอกสารเผยแพร่หลักปฏิบัติการจัดการซากผลิตภัณฑ์ฯ 150 ชุด</t>
  </si>
  <si>
    <t>(1.3.5) ค่าจัดทำรายงาน</t>
  </si>
  <si>
    <t>- รายงานฉบับต้น</t>
  </si>
  <si>
    <t>- รายงานความก้าวหน้าครั้งที่ 1</t>
  </si>
  <si>
    <t>- รายงานความก้าวหน้าครั้งที่ 2</t>
  </si>
  <si>
    <t xml:space="preserve">- รายงานฉบับสมบูรณ์ </t>
  </si>
  <si>
    <t>- รายงานสรุปผู้บริหารทั้งภาษาไทยและภาษาอังกฤษ (อย่างละ 20 เล่ม)</t>
  </si>
  <si>
    <t>รายละเอียดงบประมาณปี 2561</t>
  </si>
  <si>
    <t>1.1) ค่าตอบแทนผู้จัดการโครงการ (ป.โท ประสบการณ์ 7 ปี) (1 คน x 85,000 บาท/เดือน x6 เดือน)</t>
  </si>
  <si>
    <t>1.2) ค่าตอบแทนผู้จัดการด้านการตรวจประเมินและการรับรองระบบการจัดการ (ป.โท ประสบการณ์ 3 ปี) (1 คน x 7,000 บาท/เดือนx 8 เดือน)</t>
  </si>
  <si>
    <t>1.3) ค่าตอบแทนผู้เชี่ยวชาญด้านการจัดการให้คำปรึกษา (ป.โท ประสบการณ์ 1 ปี) (1 คนx 70,000 บาท/เดือนx 8 เดือน)</t>
  </si>
  <si>
    <t>1.4) ค่าตอบแทน วิทยากร/ผู้เชี่ยวชาญ ที่ปรึกษา (ป.ตรี ประสบการณ์ 3 ปี) (1 คน x 55,000 บาท/เดือนx 9 เดือน )</t>
  </si>
  <si>
    <t>1.5) ค่าตอบแทนผู้ประเมินที่ปรึกษา (ป.ตรี ประสบการณ์ 3 ปี) (1 คน x 55,000 บาท/เดือนx 8 เดือน)</t>
  </si>
  <si>
    <t>1.6) ค่าตอบแทนผู้ประสานงานโครงการ  (ป.ตรี ประสบการณ์ 3 ปี) (2 คน x 15,000 บาท/เดือนx 9 เดือน)</t>
  </si>
  <si>
    <t xml:space="preserve"> 2.1) ค่าตอบแทนผู้ดำเนินงานด้านมีส่วนร่วมของประชาชน (ป.ตรี ประสบการณ์ 1 ปี) (1 คน x 15,000 บาท/เดือนx 9 เดือน)</t>
  </si>
  <si>
    <t xml:space="preserve">(1.3) ค่าใช้จ่ายอื่น </t>
  </si>
  <si>
    <t>(1.3.1) จัดพิมพ์เอกสารมาตรฐาน แนวทางและรูปแบบรายงาน</t>
  </si>
  <si>
    <t>1) ค่าจัดพิมพ์เอกสารแนวทางปฏิบัติของผู้ประกอบการ (100 บาท x 620 ฉบับ)</t>
  </si>
  <si>
    <t>2) ค่าจัดพิมพ์เอกสารแนวทางปฏิบัติสำหรับโรงงาน (100 บาท x 620 ฉบับ)</t>
  </si>
  <si>
    <t>3) จัดทำแผ่นบันทึกข้อมูล (DVD) (17 บาท x 620 ชุด)</t>
  </si>
  <si>
    <t>(1.3.2) จัดเผยแพร่ความรู้ (Group training) (620 โรงงาน)</t>
  </si>
  <si>
    <t>1) ค่าสถานที่จัดอบรม (25,000 บาท x 5ครั้ง)</t>
  </si>
  <si>
    <t xml:space="preserve"> ครั้ง</t>
  </si>
  <si>
    <t>2) ค่าอาหารว่าง 2 มื้อๆ ละ 50บาท (100 บาท x 620 คน)</t>
  </si>
  <si>
    <t>คน</t>
  </si>
  <si>
    <t>3) ค่าอาหารกลางวัน (500 บาท x 620 คน)</t>
  </si>
  <si>
    <t>4) ค่าเอกสารประกอบการอบรม (620 ชุด x 70 บาท)</t>
  </si>
  <si>
    <t>(1.3.3) การสร้างความรู้ความเข้าใจ (Coaching) กลุ่ม CSR-DIW for beginner (500 โรงงาน)</t>
  </si>
  <si>
    <t>1) ค่าสถานที่พร้อมตกแต่งและสิ่งอำนวยความสะดวก (จำนวน 4 ครั้ง)</t>
  </si>
  <si>
    <t>2) ค่าวิทยากรอบรมกลุ่ม (1200 บาท x 7 ชั่วโมง x 20 กลุ่ม)</t>
  </si>
  <si>
    <t>ชม.-วัน-คน</t>
  </si>
  <si>
    <t xml:space="preserve">3) ค่าอาหารผู้เข้าร่วมประชุม 500 คน x 1 มื้อ (1 คน/โรงงาน) +(เจ้าหน้าที่ดำเนินงาน 40 คน)
</t>
  </si>
  <si>
    <t>4) ค่าอาหารว่าง (500 คน x 2 มื้อ (1 คน/โรงงาน) +เจ้าหน้าที่ 40 คน</t>
  </si>
  <si>
    <t>5) เอกสารประกอบการอบรม (500โรงงาน x 1 คน x 1 ชุดx 70บาท (1 คน/โรงงาน)</t>
  </si>
  <si>
    <t>โรง</t>
  </si>
  <si>
    <t>(1.3.4) การสร้างความรู้ความเข้าใจ (Coaching) กลุ่ม CSR-DIW กลุ่มที่ 1 ณ สถานประกอบการ (จำนวน 95 โรงงาน ดำเนินการโดยที่ปรึกษาฯ)</t>
  </si>
  <si>
    <t xml:space="preserve">1) ติดต่อประสานงานโรงงาน (95 โรงงาน x 4 ครั้ง x ค่าประสานงาน 200 บาท)
</t>
  </si>
  <si>
    <t>โรง-ครั้ง</t>
  </si>
  <si>
    <t xml:space="preserve">2) ค่าเช่ารถรวมน้ำมัน (2500 บาท x 95 โรงงาน x 4 ครั้ง)
</t>
  </si>
  <si>
    <t xml:space="preserve">3) ค่าเบี้ยเลี้ยงเจ้าหน้าที่สนับสนุน (240บาท x 95 โรงงาน x 4 ครั้ง x   2 คน)
</t>
  </si>
  <si>
    <t>4) ค่าที่พักเจ้าหน้าที่สนับสนุน (800 บาท x 2 คน x 95 คืน)</t>
  </si>
  <si>
    <t>5) ค่าเครื่องบินวิทยากร ผู้เชี่ยวชาญ(2500 บาท x 30 คน x 6 เที่ยว (ไป-กลับ))</t>
  </si>
  <si>
    <t>คน-เที่ยว</t>
  </si>
  <si>
    <t>6) ค่าที่พักวิทยากรอบรม/ผู้เชี่ยวชาญ CSR-DIW (1200 บาท x 95 คน x 4 คืน)</t>
  </si>
  <si>
    <t>7) ค่าเอกสาร (70 บาท x 95 โรงงาน x โรงงานละ 1 คน)</t>
  </si>
  <si>
    <t>8) ค่าวิทยากรที่ปรึกษา Coaching/ผู้เชี่ยวชาญ ณ สถานประกอบการ (95 คน x 5000 บาท x 4 ครั้ง)</t>
  </si>
  <si>
    <t>(1.3.5) การสร้างความรู้ความเข้าใจ (Coaching) กลุ่ม CSR-DIW กลุ่มที่ 2 (จำนวน 25 โรงงาน โดยพนักงานเจ้าหน้าที่ของกรมโรงานอุตสาหกรรม)</t>
  </si>
  <si>
    <t>1) ค่าน้ำมันเชื้อเพลิง (2500 บาท x 25โรงงาน x 4 ครั้ง)</t>
  </si>
  <si>
    <t>คัน-วัน</t>
  </si>
  <si>
    <t>2) เบี้ยเลี้ยงเจ้าหน้าที่ (240 x 25 โรงงาน x 4 ครั้ง)</t>
  </si>
  <si>
    <t>3) ค่าที่พัก (800 บาท x 3 คน x 25 โรงงาน x 4 คืน</t>
  </si>
  <si>
    <t>4) ค่าพาหนะ (แท็กซี่) (500 บาท x 3 คน x 25 โรงงาน x 4 ครั้ง)</t>
  </si>
  <si>
    <t>คน-ครั้ง</t>
  </si>
  <si>
    <t>5) เอกสารประกอบการอบรม ( 70 บาท x 25 โรงงาน x โรงงานละ 1 คน)</t>
  </si>
  <si>
    <t>1) ค่าติดต่อประสานงานโรงงาน (400 โรงงาน x 2 ครั้ง x 200 บาท)</t>
  </si>
  <si>
    <t>2) ค่าเช่ารถรวมน้ำมัน (2500 บาท x 400 โรงงาน x 1 ครั้ง)</t>
  </si>
  <si>
    <t>3) เบี้ยเลี้ยงเจ้าหน้าที่สนับสนุน (240 บาท x 400 โรงงาน x 2 วัน x 2 คน)</t>
  </si>
  <si>
    <t>4) ค่าที่พักเจ้าหน้าที่สนับสนุน (800 บาท x 400 โรงงาน x 1 คืน x 2 คน)</t>
  </si>
  <si>
    <t>5) ค่าเครื่องบินวิทยากร/ผู้เชี่ยวชาญ (2500 บาท x 30 คน x 6 เที่ยว (ไป-กลับ))</t>
  </si>
  <si>
    <t>6) ค่าที่พักวิทยากรอบรม /ผู้เชี่ยวชาญ(1200 บาท x 400 โรงงาน x 1 คืน</t>
  </si>
  <si>
    <t>7) ค่าวิทยากรที่ปรึกษา/ผู้เชี่ยวชาญ (Verification) ณ สถานประกอบการ (50 คน x 5000 บาท x 4 ครั้ง)</t>
  </si>
  <si>
    <t>8) เอกสารประกอบการอบรม (70 บาท x 400 โรงงาน x โรงงานละ 1 คน)</t>
  </si>
  <si>
    <t>(1.3.7) การทวนสอบ (Verification) กลุ่ม CSR-DIW beginner กลุ่มที่ 2 หัวข้อหลักด้านการมีส่วนร่วมและการพัฒนาชุมชน (โดยพนักงานเจ้าหน้าที่ของกรมโรงานอุตสาหกรรม) (100 โรงงาน)</t>
  </si>
  <si>
    <t>1) ค่าเช่ารถรวมน้ำมันเชื้อเพลิง (2500 บาท x 100 โรงงาน x 1 ครั้ง)</t>
  </si>
  <si>
    <t>2) เบี้ยเลี้ยงเจ้าหน้าที่ (240 x 100โรงงาน x 2 วัน)</t>
  </si>
  <si>
    <t>3) ค่าที่พัก (800 บาท x 100 โรงงาน x 1 คืน x 3 คน)</t>
  </si>
  <si>
    <t>4) ค่าพาหนะ (แท็กซี่) (3 คน x 500 บาท x 100 ครั้ง)</t>
  </si>
  <si>
    <t>5) เอกสารประกอบการทวนสอบ (70 บาท x 100 โรงงาน x โรงงานละ 1 คน)</t>
  </si>
  <si>
    <t>(1.3.8) การทวนสอบ (Verification) CSR-DIW กลุ่มที่ 1 (จำนวน 95 โรงงาน ดำเนินการโดยที่ปรึกษาฯ)</t>
  </si>
  <si>
    <t>1) ติดต่อประสานงานโรงงาน (95โรงงาน x 4 ครั้ง x ค่าประสานงาน 200 บาท)</t>
  </si>
  <si>
    <t>2) ค่าเช่ารถ รวมน้ำมัน (2500 บาท x 95 โรงงาน x 4 ครั้ง)</t>
  </si>
  <si>
    <t>3) เบี้ยเลี้ยงเจ้าหน้าที่สนับสนุน (240 x 2 คน x 95โรงงาน x 4 วัน)</t>
  </si>
  <si>
    <t>4) ค่าที่พักเจ้าหน้าที่สนับสนุน (800 บาท x 95 โรงงาน x 4 คืน x 2 คน)</t>
  </si>
  <si>
    <t>5) ค่าเครื่องบินวิทยากร/ผู้เชี่ยวชาญ (2500 บาท x 30คน x 6 เที่ยว (ไป-กลับ))</t>
  </si>
  <si>
    <t>6) ค่าที่พักวิทยากรอบรม/ผู้เชี่ยวชาญ(1200 บาท x 95โรงงาน x 4คืน)</t>
  </si>
  <si>
    <t>7) ผู้ประเมิน Verifying ณ สถานประกอบการ (40 คน x 8,500 บาท x 2 วัน)</t>
  </si>
  <si>
    <t>8) เอกสารประกอบการอบรม (70 บาท x 95 โรงงาน x โรงงานละ 1 คน)</t>
  </si>
  <si>
    <t>(1.3.9) การทวนสอบ (Verification) CSR-DIW กลุ่มที่ 2 (จำนวน 25 โรงงาน โดยพนักงานเจ้าหน้าที่ของกรมโรงงานอุตสาหกรรม)</t>
  </si>
  <si>
    <t>1) ค่าน้ำมัน (2500 บาท x 25 โรงงาน x 2 ครั้ง)</t>
  </si>
  <si>
    <t>2) ค่าเบี้ยเลี้ยงเจ้าหน้าที่ (240 x 25โรงงาน x 2 ครั้ง)</t>
  </si>
  <si>
    <t>3) ค่าที่พัก (800 บาท x 25 โรงงาน x 1 คืน x 3 คน)</t>
  </si>
  <si>
    <t>4) เอกสารประกอบการทวนสอบ (70 บาท x 25 โรงงาน x โรงงานละ 1 คน)</t>
  </si>
  <si>
    <t>(1.3.10)การจัดให้มีการสรุปผลการทวนสอบของโรงงานอุตสาหกรรมกลุ่มที่ 1 CSR-DIW for beginner และนำเสนอคณะผู้ชำนาญการของกรมโรงงานอุตสาหกรรมให้ความเห็นชอบ เพื่อรับรางวัล CSR-DIW for beginner Award ผลการตัดสินของคณะผู้ชำนาญการถือเป็นที่สิ้นสุด</t>
  </si>
  <si>
    <t>1) ค่าเช่าสถานที่</t>
  </si>
  <si>
    <t>2) เอกสารประกอบการอบรม (70 บาท x 30 ชุด)</t>
  </si>
  <si>
    <t>3) ค่าอาหารผู้เข้าร่วมประชุม (500 บาทx 30 คน)</t>
  </si>
  <si>
    <t>4) ค่าอาหารว่าง  (70 บาท x 30 คน)</t>
  </si>
  <si>
    <t>(1.3.11) การจัดให้มีการสรุปผลการทวนสอบรายงานของโรงงานอุตสาหกรรม กลุ่มCSR-DIW และนำเสนอคณะกรรมการของกรมโรงงานอุตสาหกรรมให้ความเห็นชอบ เพื่อรับรางวัล CSR-DIW Award ผลการตัดสินของคณะกรรมการถือเป็นที่สิ้นสุด</t>
  </si>
  <si>
    <t>(1.3.12)การสนับสนุนการดำเนินงานของคณะกรรมการบริหารเครือข่าย CSR-DIWจัดให้มีการประชุมคณะกรรมการบริหารเครือข่าย CSR-DIW อย่างน้อยเดือนละ 1 ครั้ง หรือตามที่คณะกรรมการบริหารเครือข่าย CSR-DIW กำหนด</t>
  </si>
  <si>
    <t>1) ค่าสถานที่จัดประชุมประจำเดือน (5000 บาท x 9 ครั้ง)</t>
  </si>
  <si>
    <t>ฉบับ-เล่ม-ครั้ง</t>
  </si>
  <si>
    <t>2) เอกสารประกอบการประชุม (70 บาท x 30 ชุด x 9 ครั้ง)</t>
  </si>
  <si>
    <t>3) ค่าอาหารผู้เข้าร่วมประชุม (500 บาทx 30 ชุด x 9 ครั้ง)</t>
  </si>
  <si>
    <t>4) ค่าอาหารว่าง (70 บาท x 30 คน x 9 ครั้ง)</t>
  </si>
  <si>
    <t>1) พัฒนาสื่อเครือข่ายทางและเผยแพร่กิจกรรมของโครงการรวมถึงกิจกรรมต่างๆ ของสมาชิกเครือข่าย Website</t>
  </si>
  <si>
    <t>เหมา</t>
  </si>
  <si>
    <t>(1.3.14) ศึกษารวบรวม วิเคราะห์ข้อมูลผลการดำเนินงานโครงการ CSR-DIW ของกรมโรงงานอุตสาหกรรมตั้งแต่ปี 2551 จนถึงปัจจุบัน</t>
  </si>
  <si>
    <t xml:space="preserve">1) การรวบรวมข้อมูลผลการดำเนินงานโครงการ CSR-DIW  </t>
  </si>
  <si>
    <t xml:space="preserve">(1.3.15) การจัดงานสรุปผลการดำเนินงานและมอบรางวัลและเกียรติบัตรแก่โรงงานอุตสาหกรรมในสถานที่ที่มีสิ่งอำนวยความสะดวกอย่างพอเพียง จำนวน 1 ครั้งประกอบด้วย CSR-DIW beginner Award และ CSR-DIW Award </t>
  </si>
  <si>
    <t>1) ค่าสถานที่พร้อมตกแต่งและสิ่งอำนวยความสะดวก</t>
  </si>
  <si>
    <t>2) ค่าพิธีกร (1 คน /1 ครั้ง)</t>
  </si>
  <si>
    <t>คน/ครั้ง</t>
  </si>
  <si>
    <t>3) ค่าเบี้ยเลี้ยงเจ้าหน้าที่ (600 บาท x 60 คน)</t>
  </si>
  <si>
    <t>4) ค่าเช่ารถรวมน้ำมัน (2500 บาท x 15 คัน x1วัน)</t>
  </si>
  <si>
    <t>5) ค่าโล่รางวัล (1000 บาท x 620 อัน)</t>
  </si>
  <si>
    <t>อัน</t>
  </si>
  <si>
    <t>6) ประกาศเกียรติบัตร (100 บาท x 620 ใบ)</t>
  </si>
  <si>
    <t>ใบ</t>
  </si>
  <si>
    <t>(1.3.16) จัดอบรมให้กับบุคคลากรเฉพาะด้านความรับผิดชอบต่อสังคมประจำโรงงาน เพื่อให้ความรู้และพัฒนาเกี่ยวกับการเป็นวิทยากรกระบวนการ (Facilitator) ในพื้นที่เป้าหมายการพัฒนาเมืองอุตสาหกรรมเชิงนิเวศ 15 จังหวัด จัดอบรมอย่างน้อย 1 ครั้ง/จังหวัด ครั้งละไม่น้อยกว่า 2 วัน มีผู้เข้าร่วมการอบรมไม่น้อยกว่า 50 คน</t>
  </si>
  <si>
    <t>1) ค่าวิทยากร  (1,200 บาท x 7 ชั่วโมง x 15 ครั้ง x 2 วัน x 2 คน )</t>
  </si>
  <si>
    <t>2) ค่าเอกสารประกอบการประชุม (70 บาท x 15 ครั้ง x 50 คน)</t>
  </si>
  <si>
    <t>3) ค่าสถานที่จัดประชุม (5000 บาท x 15 ครั้ง x 2 วัน)</t>
  </si>
  <si>
    <t>4) ค่าอาหารว่าง (2 มื้อ)  (100 บาท x 15 ครั้ง x 50 คน x 2 วัน)</t>
  </si>
  <si>
    <t>5) ค่าอาหารกลางวัน  (1 มื้อ)  (500 บาท x 15 ครั้ง x 50 คน x 2 วัน)</t>
  </si>
  <si>
    <t>6) ค่าเบี้ยเลี้ยงเจ้าหน้าที่ (240 บาท x จำนวน 5 คน 30 วัน)</t>
  </si>
  <si>
    <t>7) ค่าที่พักเจ้าหน้าที่ (800 บาท x 5 ห้อง x 15 คืน)</t>
  </si>
  <si>
    <t>8) ค่าเครื่องบินไป-กลับ (5000 บาท x  4 จังหวัด x 2 คน )</t>
  </si>
  <si>
    <t>9) ค่ารถโดยสาร (รถตู้รวมค่าน้ำมัน) (2500บาทx 30 วัน)</t>
  </si>
  <si>
    <t>(1.3.17) ค่าจัดทำเอกสารรายงาน</t>
  </si>
  <si>
    <t>1) แผนการดำเนินโครงการ 10 ฉบับ พร้อม CD-Rom 1 แผ่น (500 บาท x 10 ฉบับ)</t>
  </si>
  <si>
    <t>ฉบับ-เล่ม</t>
  </si>
  <si>
    <t>2) รายงานฉบับต้น 10 ฉบับ พร้อม CD-Rom 1 แผ่น(800 บาท x 10 ฉบับ)</t>
  </si>
  <si>
    <t>3) รายงานความก้าวหน้าฉบับกลาง 10 ฉบับ พร้อมแผ่นบันทึกข้อมูล 1 แผ่น(800 บาท x 10 ฉบับ)</t>
  </si>
  <si>
    <t>4) ร่างรายงานฉบับสมบูรณ์ 10 ฉบับ พร้อมแผ่นบันทึกข้อมูล 1 แผ่น(800 บาท x 10 ฉบับ)</t>
  </si>
  <si>
    <t>(1.3.18) รายงานฉบับสมบูรณ์(Final Report)</t>
  </si>
  <si>
    <t>1) รายงานฉบับสมบูรณ์ ภาษาไทย พร้อม แผ่นบันทึกข้อมูล (800 บาท x 10 ฉบับ)</t>
  </si>
  <si>
    <t>2) รายงานสรุปผู้บริหารเป็นภาษาไทย (500 บาท x 10 ฉบับ)</t>
  </si>
  <si>
    <t>3) รายงานสรุปผู้บริหารเป็นภาษาอังกฤษ (500 บาท x 10 ฉบับ)</t>
  </si>
  <si>
    <t>(1.3.19) ค่าใช้จ่ายเบ็ดเตล็ด</t>
  </si>
  <si>
    <t xml:space="preserve"> 2. เอกสารประกอบเป็นเอกสารวิชาการและข้อมูลด้านเทคนิค</t>
  </si>
  <si>
    <t xml:space="preserve"> - ค่าตอบแทนผู้จัดการโครงการ (ป.โท ประสบการณ์ 10 ปี)</t>
  </si>
  <si>
    <t>1) เพื่อจัดทำฐานข้อมูลการไหลของวัตถุดิบ เพื่อวิเคราะห์หาโอกาสในการแลกเปลี่ยนของเสียหรือพลังงานเพื่อยกระดับพัฒนาโรงงานในพื้นที่เป้าหมาย 7 จังหวัด</t>
  </si>
  <si>
    <t xml:space="preserve"> - ค่าตอบแทนผู้เชี่ยวชาญด้านสิ่งแวดล้อม ความปลอดภัยและอาชีวอนามัย (ป.โท ประสบการณ์ 10 ปี)</t>
  </si>
  <si>
    <t xml:space="preserve"> - ค่าตอบแทนผู้เชี่ยวชาญด้านเศรษฐกิจและสังคม (ป.โท ประสบการณ์ 10 ปี)</t>
  </si>
  <si>
    <t xml:space="preserve"> - ค่าตอบแทนผู้เชี่ยวชาญด้านสถิติและเทคโนโลยีสารสนเทศ (ป.โท ประสบการณ์ 10 ปี) </t>
  </si>
  <si>
    <t>คอมพิวเตอร์</t>
  </si>
  <si>
    <t>2) เพื่อพัฒนาและยกระดับโรงงานในพื้นที่เป้าหมาย 7 จังหวัดให้ได้มาตรฐานตรงตามตัวชี้วัดการพัฒนาเมืองอุตสาหกรรมเชิงนิเวศระดับ 2 ในส่วนภาคอุตสาหกรรมพร้อมทั้งมีการติดตามและประเมินผล</t>
  </si>
  <si>
    <t xml:space="preserve"> - ค่าตอบแทนผู้เชี่ยวชาญด้านการจัดกากอุตสาหกรรม (ป.โท ประสบการณ์ 10 ปี</t>
  </si>
  <si>
    <t xml:space="preserve"> - ค่าตอบแทนผู้เชี่ยวชาญด้านการวางแผนพัฒนา (ป.โท ประสบการณ์ 10 ปี)</t>
  </si>
  <si>
    <t xml:space="preserve"> - ค่าตอบแทนวิศวกร/นักวิทยาศาสตร์ด้านสิ่งแวดล้อม (ป.โท ประสบการณ์ 3 ปี)</t>
  </si>
  <si>
    <t xml:space="preserve"> - ค่าตอบแทนเจ้าหน้าที่สนับสนุนโครงการ   ป.ตรี ประสบการณ์ 2ปี</t>
  </si>
  <si>
    <t xml:space="preserve"> - ค่าตอบแทนผู้ประสานงานโครงการ ป.ตรี ประสบการณ์ 3 ปี</t>
  </si>
  <si>
    <t xml:space="preserve"> - ค่าตอบแทนเจ้าหน้าที่สนับสนุนโครงการ (ประจำกรมโรงงาน)   ป.ตรี ประสบการณ์ 3 ปี</t>
  </si>
  <si>
    <t>วิศวฯ/วิทย์</t>
  </si>
  <si>
    <t>หน่วย</t>
  </si>
  <si>
    <t>(1.3.1) ศึกษาและรวบรวมข้อมูลโรงงานอุตสาหกรรม เพื่อจัดทำฐานข้อมูลการไหลของวัตถุดิบ ของโรงงานเป้าหมาย โดยต้องจัดทำฐานข้อมูลในรูปแบบอิเล็กทรอนิกส์ไฟล์ เพื่อนำไปสู่การหาโอกาสการแลกเปลี่ยนของเสียในอนาคตอย่างน้อย 200 โรงงาน (ไปเช้าเย็นกลับ)</t>
  </si>
  <si>
    <t>เบี้ยเลี้ยงเจ้าหน้าที่ (5 ทีม x ทีมละ 40 โรงงาน xโรงงานละ 1 วัน x ทีมละ 2 คน x 240 บาท)</t>
  </si>
  <si>
    <t>คน-โรงงาน-วัน</t>
  </si>
  <si>
    <t>(10 คน * 40วัน)</t>
  </si>
  <si>
    <t>ค่าเดินทางเจ้าหน้าที่ เช่ารถรวมค่าน้ำมัน (5 คัน x คันละ 40 โรงงาน x โรงงานละ 1 วัน x วันละ 2500 บาท)</t>
  </si>
  <si>
    <t>คัน-โรงงาน-วัน</t>
  </si>
  <si>
    <t xml:space="preserve">ค่าจัดทำรายงาน (200 โรงงาน  x โรงงานละ 1 ชุด x ชุดละ 250 บาท)  </t>
  </si>
  <si>
    <t>ชุด-โรงงาน</t>
  </si>
  <si>
    <t>ค่าอุปกรณ์จัดทำฐานข้อมูลในรูปอิเล็กทรอนิกส์ไฟล์</t>
  </si>
  <si>
    <t xml:space="preserve"> -  แท็บเล็ต (15,000 บาท x 10 เครื่อง)</t>
  </si>
  <si>
    <t>เครื่อง</t>
  </si>
  <si>
    <t xml:space="preserve"> - คอมพิวเตอร์แท็บเล็ตสำหรับประมวลผล(30,000 1เครื่อง)</t>
  </si>
  <si>
    <t>(1.3.2) ให้คำแนะนำปรึกษาเชิงลึกหรือเขียนแผนการปรับปรุงหรือช่วยจัดเตรียมเอกสารในการปรับปรุงยกระดับให้กับโรงงานอุตสาหกรรมที่รับสมัครคัดเลือในด้านสิ่งแวดล้อม ความปลอดภัย แผนชุมชน การอนุรักษ์ทรัพยากรหรือพลังงาน ด้านใดด้านหนึ่งให้กับโรงงานที่เข้าร่วมโครงการอย่างน้อย 200 โรงงาน</t>
  </si>
  <si>
    <t>เบี้ยเลี้ยงเจ้าหน้าที่ (5 ทีม x ทีมละ40 โรงงาน xโรงงานละ 2 ครั้ง ครั้งละ 2 วัน x ทีมละ 2 คน x 240 บาท)</t>
  </si>
  <si>
    <t>ค่าเดินทางเจ้าหน้าที่ เช่ารถรวมค่าน้ำมัน (5 คัน x คันละ 40 โรงงาน x โรงงานละ 2 ครั้ง xครั้งละ 2 วัน x วันละ 2500 บาท)</t>
  </si>
  <si>
    <t xml:space="preserve">ค่าที่พักเจ้าหน้าที่และผู้เชี่ยวชาญ (5 ทีม x ทีมละ 1 คน x ทีมละ 40 โรงงาน x โรงงานละ 2 ครั้ง x ครั้งละ 2 ห้อง x ห้องละ 1 คืน x คืนละ 1200 บาท ) </t>
  </si>
  <si>
    <t>คน-โรงงาน-คืน</t>
  </si>
  <si>
    <t>ค่าให้คำปรึกษาเชิงลึกของเจ้าหน้าที่ (5 ทีม x ทีมละ 1 คน x ทีมละ40 โรงงาน xโรงงานละ 2 ครั้ง x ครั้งละ 2 วัน ครั้งละ 2000 บาท(อ้างอิงจากโครงการ GI-ทีมละ2000 บาท)</t>
  </si>
  <si>
    <t>(1.3.3) สุ่มติดตามประเมินผลการปรับปรุงของโรงงานอุตสาหกรรมที่เข้าร่วมอย่างน้อย 20 โรงงาน</t>
  </si>
  <si>
    <t>เบี้ยเลี้ยงเจ้าหน้าที่ (4 ทีม x ทีมละ 5 โรงงาน xโรงงานละ 1 ครั้ง ครั้งละ 2 วัน x ทีมละ 2 คน x 240 บาท)</t>
  </si>
  <si>
    <t>ค่าเดินทางเจ้าหน้าที่ เช่ารถรวมค่าน้ำมัน (4 คัน x คันละ 5 โรงงาน x โรงงานละ 1 ครั้ง xครั้งละ 2 วัน x วันละ 2500 บาท)</t>
  </si>
  <si>
    <t>ค่าที่พักผู้สุ่มทวนสอบ (4 ทีม x ทีมละ 1 คน x ทีมละ 5 โรงงาน x โรงงานละ 1 ครั้ง x ครั้งละ 2 ห้อง x ห้องละ 1 คืน x คืนละ 1200 บาท )</t>
  </si>
  <si>
    <t xml:space="preserve">ค่าจัดทำรายงาน (20 โรงงาน  x โรงงานละ 1 ชุด x ชุดละ 250 บาท)  </t>
  </si>
  <si>
    <t>ค่าใช้จ่ายอื่นๆ</t>
  </si>
  <si>
    <t>เบี้ยเลี้ยงเจ้าหน้าที่ (4 ทีม x ทีมละ 5 โรงงาน xโรงงานละ 1 ครั้ง ครั้งละ 2 วัน x ทีมละ 3 คน x 240 บาท)</t>
  </si>
  <si>
    <t>ค่าที่พักเจ้าหน้าที่ (4 ทีม x  ทีมละ 1 คน x ทีมละ 5 โรงงาน x โรงงานละ 1 ครั้ง x ครั้งละ 3 ห้อง x ห้องละ 1 คืน x คืนละ 1200 บาท )</t>
  </si>
  <si>
    <t>-</t>
  </si>
  <si>
    <t>(1.3.5) จัดงานประกาศความสำเร็จของพื้นที่เป้าหมาย 8 จังหวัด ในการเป็นเมืองอุตสาหกรรมเชิงนิเวศ ระดับ 2 ในส่วนภาคอุตสาหกรรม โดยให้มีการสัมมนาเผยแพร่แนวคิดเมืองอุตสาหกรรมเชิงนิเวศ และผลงานการพัฒนาอุตสาหกรรมเชิงนิเวศ</t>
  </si>
  <si>
    <t>ค่าสถานที่ พร้อมตกแต่งและสิ่งอำนวยความสะดวก(จุคน 300 คน อ้างอิงราคาเฉลี่ยใช้สถานที่โรงแรม)</t>
  </si>
  <si>
    <t>พิธีกร (1 คน /1 ครั้ง) (เกิน 60 นาที)</t>
  </si>
  <si>
    <t>ค่าเอกสารประกอบการประชุม (200 บาท x 300 ชุด)</t>
  </si>
  <si>
    <t>ค่าอาหารว่าง (300 คน x 2 มื้อ x 50 บาท)</t>
  </si>
  <si>
    <t>คน-มื้อ</t>
  </si>
  <si>
    <t>ค่าอาหารกลางวัน (550บาท x 300 คนx 1 มื้อ)</t>
  </si>
  <si>
    <t>ค่าวิทยากร (4 คน x คนละ 3 ชั่วโมง x ชั่วโมงละ 1600)</t>
  </si>
  <si>
    <t>คน-ชม.</t>
  </si>
  <si>
    <t xml:space="preserve">เบี้ยเลี้ยงเจ้าหน้าที่เตรียมงาน (10 คน x คนละ 1 วัน x คนละ 240 บาท) </t>
  </si>
  <si>
    <t>แผนการดำเนินโครงการ 12 ฉบับ พร้อม DVD-Rom 12 แผ่น (215 บาท x 12 ฉบับ)</t>
  </si>
  <si>
    <t>รายงานสรุปการดำเนินโครงการฉบับต้น 12 ฉบับ พร้อม DVD-Rom 12 แผ่น</t>
  </si>
  <si>
    <t>รายงานสรุปการดำเนินโครงการฉบับกลาง 12 ฉบับ พร้อม DVD-Rom 12 แผ่น</t>
  </si>
  <si>
    <t>ร่างรายงานฉบับสมบูรณ์ 12 ฉบับ พร้อม DVD-Rom 12 แผ่น</t>
  </si>
  <si>
    <t>รายงานฉบับสมบูรณ์ ภาษาไทย 12 ฉบับ พร้อม DVD-Rom 12 แผ่น</t>
  </si>
  <si>
    <t>รายงานสรุปสำหรับผู้บริหารภาษาไทย</t>
  </si>
  <si>
    <t>รายงานสรุปสำหรับผู้บริหารภาษาอังกฤษ</t>
  </si>
  <si>
    <t>(1.3.1) ศึกษาและรวบรวมข้อมูลโรงงานอุตสาหกรรม เพื่อจัดทำฐานข้อมูลการไหลของวัตถุดิบ ของโรงงานเป้าหมาย โดยต้องจัดทำฐานข้อมูลในรูปแบบอิเล็กทรอนิกส์ไฟล์ เพื่อนำไปสู่การหาโอกาสการแลกเปลี่ยนของเสียในอนาคตอย่างน้อย 120 โรงงาน (ระยะทางไกล)</t>
  </si>
  <si>
    <t>เบี้ยเลี้ยงเจ้าหน้าที่ (5 ทีม x ทีมละ 24 โรงงาน xโรงงานละ 2 วัน x ทีมละ 2 คน x 240 บาท)</t>
  </si>
  <si>
    <t>ค่าเดินทางเจ้าหน้าที่ เช่ารถรวมค่าน้ำมัน (5 คัน x คันละ 24 โรงงาน x โรงงานละ 2 วัน x วันละ 2500 บาท)</t>
  </si>
  <si>
    <t xml:space="preserve">ค่าจัดทำรายงาน (120 โรงงาน  x โรงงานละ 1 ชุด x ชุดละ 250 บาท)  </t>
  </si>
  <si>
    <t xml:space="preserve"> -  แท็บเล็ต (15,000 บาท x 20 เครื่อง)</t>
  </si>
  <si>
    <t>(1.3.2) ให้คำแนะนำปรึกษาเชิงลึกหรือเขียนแผนการปรับปรุงหรือช่วยจัดเตรียมเอกสารในการปรับปรุงยกระดับให้กับโรงงานอุตสาหกรรมที่รับสมัครคัดเลือในด้านสิ่งแวดล้อม ความปลอดภัย แผนชุมชน การอนุรักษ์ทรัพยากรหรือพลังงาน ด้านใดด้านหนึ่งให้กับโรงงานที่เข้าร่วมโครงการอย่างน้อย 120 โรงงาน</t>
  </si>
  <si>
    <t>เบี้ยเลี้ยงเจ้าหน้าที่ (5 ทีม x ทีมละ24 โรงงาน xโรงงานละ 2 ครั้ง ครั้งละ 3 วัน x ทีมละ 2 คน x 240 บาท)</t>
  </si>
  <si>
    <t>ค่าเดินทางเจ้าหน้าที่ เช่ารถรวมค่าน้ำมัน (5 คัน x คันละ 24 โรงงาน x โรงงานละ 2 ครั้ง xครั้งละ 3 วัน x วันละ 2500 บาท)</t>
  </si>
  <si>
    <t xml:space="preserve">ค่าที่พักเจ้าหน้าที่และผู้เชี่ยวชาญ (5 ทีม x ทีมละ 24 โรงงาน x โรงงานละ 2 ครั้ง x ครั้งละ 2 ห้อง x ห้องละ 2 คืน x คืนละ 1200 บาท ) </t>
  </si>
  <si>
    <t>คน-ห้อง-คืน</t>
  </si>
  <si>
    <t>ค่าให้คำปรึกษาเชิงลึกของเจ้าหน้าที่ (5 ทีม x ทีมละ24 โรงงาน xโรงงานละ 2 ครั้ง x ครั้งละ 3 วัน ครั้งละ 2000 บาท(อ้างอิงจากโครงการ GI-ทีมละ2000 บาท)</t>
  </si>
  <si>
    <t>เบี้ยเลี้ยงเจ้าหน้าที่ (4 ทีม x ทีมละ 5 โรงงาน xโรงงานละ 1 ครั้ง ครั้งละ 3 วัน x ทีมละ 2 คน x 240 บาท)</t>
  </si>
  <si>
    <t>ค่าเดินทางเจ้าหน้าที่ เช่ารถรวมค่าน้ำมัน (4 คัน x คันละ 5 โรงงาน x โรงงานละ 1 ครั้ง xครั้งละ 3 วัน x วันละ 2500 บาท)</t>
  </si>
  <si>
    <t>ค่าที่พักผู้สุ่มทวนสอบ (4 ทีม x ทีมละ 5 โรงงาน x โรงงานละ 1 ครั้ง x ครั้งละ 2 ห้อง x ห้องละ 2 คืน x คืนละ 1200 บาท )</t>
  </si>
  <si>
    <t>ห้อง-คืน</t>
  </si>
  <si>
    <t>เบี้ยเลี้ยงเจ้าหน้าที่ (4 ทีม x ทีมละ 5 โรงงาน xโรงงานละ 1 ครั้ง ครั้งละ 3 วัน x ทีมละ 3 คน x 240 บาท)</t>
  </si>
  <si>
    <t>ค่าที่พักเจ้าหน้าที่ (4 ทีม x ทีมละ 5 โรงงาน x โรงงานละ 1 ครั้ง x ครั้งละ 3 ห้อง x ห้องละ 2 คืน x คืนละ 1200 บาท )</t>
  </si>
  <si>
    <t>(1.3.5) จัดงานประกาศความสำเร็จของพื้นที่เป้าหมาย 7 จังหวัด ในการเป็นเมืองอุตสาหกรรมเชิงนิเวศ ระดับ 2 ในส่วนภาคอุตสาหกรรม โดยให้มีการสัมมนาเผยแพร่แนวคิดเมืองอุตสาหกรรมเชิงนิเวศ และผลงานการพัฒนาอุตสาหกรรมเชิงนิเวศ</t>
  </si>
  <si>
    <t>ค่าเอกสารประกอบการประชุม (200 บาท x 300 คน)</t>
  </si>
  <si>
    <t>ค่าอาหารกลางวัน (550บาท x 300 คน)</t>
  </si>
  <si>
    <t xml:space="preserve">เบี้ยเลี้ยงเจ้าหน้าที่เตรียมงาน (10 คน x คนละ 240 บาท) </t>
  </si>
  <si>
    <t>โครงการขับเคลื่อนและประเมินผลการดำเนินการตามแผนปฏิบัติการภายใต้แผนแม่บท
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สระบุรี พระนครศรีอยุธยา ราชบุรี สงขลา ขอนแก่น นครราชสีมา และสุราษฎร์ธานี</t>
  </si>
  <si>
    <t xml:space="preserve">  - ค่าสถานที่จัดประชุม (5000 บาท x 2 ครั้ง)</t>
  </si>
  <si>
    <t xml:space="preserve">  - ค่าอาหารว่าง (50 บาท x 4 มื้อ x 50 คน)</t>
  </si>
  <si>
    <t>คน-บาท</t>
  </si>
  <si>
    <t xml:space="preserve">  - ค่าอาหารกลางวัน (300 บาท x 50 คน x 2 มื้อ)</t>
  </si>
  <si>
    <t xml:space="preserve">   - ค่าเบี้ยเลี้ยงเจ้าหน้าที่  (5 คน x 240 บาท x 2 วัน)</t>
  </si>
  <si>
    <t xml:space="preserve">   - ค่าที่พักเจ้าหน้าที่  (5 คน x 800 บาท)</t>
  </si>
  <si>
    <t xml:space="preserve">  - ค่าจัดเตรียมเอกสารประกอบการประชุม (70 บาท x 50 ชุด)</t>
  </si>
  <si>
    <t>ชุด-บาท</t>
  </si>
  <si>
    <t xml:space="preserve">   - ค่าสถานที่จัดประชุม (5000 บาท x 3 ครั้ง)</t>
  </si>
  <si>
    <t>ครั้ง-บาท</t>
  </si>
  <si>
    <t xml:space="preserve">   - ค่าอาหารว่าง (50 บาท x 6 มื้อ x 10 คน)</t>
  </si>
  <si>
    <t xml:space="preserve">   - ค่าอาหารกลางวัน (300 บาท x 10 คน x 3 มื้อ)</t>
  </si>
  <si>
    <t xml:space="preserve">   - ค่าจัดเตรียมเอกสารประกอบการประชุม (70 บาท x 10 ชุด)</t>
  </si>
  <si>
    <t xml:space="preserve">   - ค่าสถานที่จัดประชุม (5000 บาท x 1 ครั้ง)</t>
  </si>
  <si>
    <t xml:space="preserve">   - ค่าอาหารว่าง (50 บาท x 2 มื้อ x 50 คน)</t>
  </si>
  <si>
    <t xml:space="preserve">   - ค่าอาหารกลางวัน (300 บาท x 50 คน x 1 มื้อ)</t>
  </si>
  <si>
    <t xml:space="preserve">   - ค่าจัดเตรียมเอกสารประกอบการประชุม (70 บาท x 50 ชุด)</t>
  </si>
  <si>
    <t xml:space="preserve">   - ค่าเบี้ยเลี้ยงเจ้าหน้าที่  (5 คน x 240 บาท x 6 วัน x 18 พื้นที่)</t>
  </si>
  <si>
    <t xml:space="preserve">   - ค่าที่พักเจ้าหน้าที่  (5 คน x 800 บาท x 3 ครั้ง x 18 พื้นที่)</t>
  </si>
  <si>
    <t xml:space="preserve">   - ค่าพาหนะ  (รถตู้รวมน้ำมัน  2,500 บาท x 108 วัน)</t>
  </si>
  <si>
    <t>วัน-บาท</t>
  </si>
  <si>
    <t xml:space="preserve">   - ค่าเครื่องบิน ไป-กลับ (ขอนแก่น สุราษฏร์ธานี สงขลา) (3 จังหวัด x 3,000 บาท x 9 ครั้ง)</t>
  </si>
  <si>
    <t xml:space="preserve">   - ค่าเบี้ยเลี้ยงเจ้าหน้าที่  (5 คน x 240 บาท x 10 วัน x 18 พื้นที่)</t>
  </si>
  <si>
    <t xml:space="preserve">   - ค่าที่พักเจ้าหน้าที่  (5 คน x 800 บาท x 5 ครั้ง x 18 พื้นที่)</t>
  </si>
  <si>
    <t xml:space="preserve">   - ค่าพาหนะ  (รถตู้รวมน้ำมัน  2,500 บาท x 180 วัน)</t>
  </si>
  <si>
    <t xml:space="preserve"> - จัดทำรายงานสรุป (1000 เล่ม x 250บาท)</t>
  </si>
  <si>
    <t>เล่ม-บาท</t>
  </si>
  <si>
    <t xml:space="preserve">  - ค่าเบี้ยเลี้ยงเจ้าหน้าที่  (4 คน x 240 บาท x 36 วัน)</t>
  </si>
  <si>
    <t xml:space="preserve">  - ค่าที่พักเจ้าหน้าที่และพนักงานขับรถ  (4 คน x 800 บาท x 18 ครั้ง)</t>
  </si>
  <si>
    <t xml:space="preserve">  - ค่าน้ำมัน 18 พื้นที่ (18 พื้น x 2,000 บาท)</t>
  </si>
  <si>
    <t>พื้นที่-บาท</t>
  </si>
  <si>
    <t xml:space="preserve">  - ค่ายานพาหนะขนสัมภาระ (500 บาท x 4 คน)</t>
  </si>
  <si>
    <t xml:space="preserve">  - ค่าสถานที่จัดประชุม (5000 บาท x 1 ครั้ง)</t>
  </si>
  <si>
    <t xml:space="preserve">  - ค่าใช้จ่ายตกแต่งสถานที่ (5000 บาท x 1 ครั้ง)</t>
  </si>
  <si>
    <t xml:space="preserve">  - ค่าพิธีกรดำเนินการ (20000 บาท x 1 ครั้ง)</t>
  </si>
  <si>
    <t xml:space="preserve">  - ค่าตอบแทนวิทยากร (3 คน x 7 ชั่วโมง x 1,200 บาท)</t>
  </si>
  <si>
    <t xml:space="preserve">  - ค่าอาหารว่าง (50 บาท x 1 มื้อ x 100 คน)</t>
  </si>
  <si>
    <t xml:space="preserve">  - ค่าวัสดุอุปกรณ์ (1 x 10,000)</t>
  </si>
  <si>
    <t xml:space="preserve">  - ค่าอาหารกลางวัน (300 บาท x 100 คน x 1 มื้อ)</t>
  </si>
  <si>
    <t xml:space="preserve">  - ค่าจัดเตรียมเอกสารประกอบการประชุม (70 บาท x 100 ชุด)</t>
  </si>
  <si>
    <t>จัดทำรายงานสรุปผลการดำเนินงานโครงการ</t>
  </si>
  <si>
    <t>จัดทำเอกสารสรุปผลการดำเนินงานเสนอผู้บริหาร</t>
  </si>
  <si>
    <t>แผนการดำเนินโครงการ 10 ฉบับ พร้อม CD-Rom 1 แผ่น (500 บาท x 10 เล่ม)</t>
  </si>
  <si>
    <t>รายงานฉบับต้น 10 ฉบับ พร้อม CD-Rom 1 แผ่น  (800 บาท x 10 เล่ม)</t>
  </si>
  <si>
    <t>รายงานความก้าวหน้าฉบับกลาง 10 ฉบับ พร้อม CD-Rom 1 แผ่น (800 บาท x 10 เล่ม)</t>
  </si>
  <si>
    <t>ร่างรายงานฉบับสมบูรณ์ 10 ฉบับ พร้อม CD-Rom 1 แผ่นพร้อม CD-Rom (800 บาท x 10 เล่ม)</t>
  </si>
  <si>
    <t>1) รายงานฉบับสมบูรณ์ ภาษาไทย พร้อม CD-Rom (800 บาท x 10 เล่ม)</t>
  </si>
  <si>
    <t>2) รายงานสรุปสำหรับผู้บริหารภาษาไทย (800 บาท x 10 เล่ม)</t>
  </si>
  <si>
    <t>2) รายงานสรุปสำหรับผู้บริหารภาษาอังกฤษ (800 บาท x 10 เล่ม)</t>
  </si>
  <si>
    <t>ค่าใช้จ่ายเบ็ดเตล็ด</t>
  </si>
  <si>
    <t xml:space="preserve"> - ค่าตอบแทนผู้เชี่ยวชาญด้านสิ่งแวดล้อม ความปลอดภัยและอาชีวอนามัย (ป.โท ประสบการณ์ 7 ปี)</t>
  </si>
  <si>
    <t xml:space="preserve"> - ค่าตอบแทนผู้เชี่ยวชาญด้านเศรษฐกิจและสังคม (ป.ตรี ประสบการณ์ 5 ปี)</t>
  </si>
  <si>
    <t>สังคม</t>
  </si>
  <si>
    <t xml:space="preserve"> - ค่าตอบแทนผู้เชี่ยวชาญด้านสถิติและเทคโนโลยีสารสนเทศ (ป.ตรี ประสบการณ์ 5 ปี)</t>
  </si>
  <si>
    <t xml:space="preserve"> - ผู้เชี่ยวชาญด้านการจัดการอุตสาหกรรม (ป.ตรี ประสบการณ์ 5 ปี)</t>
  </si>
  <si>
    <t>2) เพื่อทวนสอบการพัฒนาเมืองอุตสาหกรรมเชิงนิเวศพื้นที่เป้าหมาย 15 จังหวัด ตามตัวชี้วัด 5 มิติ 20 ด้าน และจัดระดับการพัฒนาเมืองอุตสาหกรรมเชิงนิเวศ ระดับความเป็นนิคมอุตสาหกรรมเชิงนิเวศ เขตประกอบการอุตสาหกรรมเชิงนิเวศ สวนอุตสาหกรรมเชิงนิเวศ และตัวอย่างโรงงานอุตสาหกรรมเชิงนิเวศ  รายจังหวัด</t>
  </si>
  <si>
    <t xml:space="preserve"> - ค่าตอบแทนผู้ผู้เชี่ยวชาญด้านการวางแผนพัฒนา (ป.ตรี ประสบการณ์ 5 ปี)</t>
  </si>
  <si>
    <t xml:space="preserve"> - ค่าตอบแทนที่ปรึกษาด้านการมีส่วนร่วมของประชาชน (ป.ตรี ประสบการณ์ 5 ปี)</t>
  </si>
  <si>
    <t xml:space="preserve"> - ค่าตอบแทนผู้จัดการด้านการตรวจประเมินและการรับรองระบบ (ป.ตรี ประสบการณ์ 5 ปี)</t>
  </si>
  <si>
    <t xml:space="preserve"> - ค่าตอบแทนนักวิชาการเศรษฐกิจหรือสังคม (ป.ตรี ประสบการณ์ 3 ปี)</t>
  </si>
  <si>
    <t xml:space="preserve"> - ค่าตอบแทนวิศวกร/นักวิทยาศาสตร์ด้านสิ่งแวดล้อม (ป.ตรี ประสบการณ์ 5 ปี)</t>
  </si>
  <si>
    <t xml:space="preserve"> - ค่าตอบแทนเจ้าหน้าที่สนับสนุนโครงการ (ป.ตรี ประสบการณ์ 3 ปี)</t>
  </si>
  <si>
    <t xml:space="preserve"> - ค่าตอบแทนผู้ประสานงานโครงการ (ป.ตรี ประสบการณ์ 3 ปี)</t>
  </si>
  <si>
    <t>(1.3.1) จัดทำกรอบแนวคิด แผนงานและแผนปฏิบัติการ (Action Plan) ตลอดการดำเนินโครงการ เพื่อพัฒนาฐานข้อมูล</t>
  </si>
  <si>
    <t>(1.3.2) เก็บข้อมูลโรงงานอุตสาหกรรม หน่วยงานที่เกี่ยวข้อง และรวบรวมข้อมูลเชิงสถิติเพื่อป้อนข้อมูลต่าง ๆ ให้กับศูนย์พัฒนาเมืองอุตสาหกรรมเชิงนิเวศ</t>
  </si>
  <si>
    <t>1) ค่าเบี้ยเลี้ยงเจ้าหน้าที่ (10 คน x 240 บาท x 2 วัน x 5 ครั้ง x 15 จังหวัด)</t>
  </si>
  <si>
    <t>คน-วัน-จังหวัด</t>
  </si>
  <si>
    <t>2) ค่าที่พักเจ้าหน้าที่ (10 คน x 800 บาท x ครั้งละ 1 คืน x 5 ครั้ง x 15 จังหวัด)</t>
  </si>
  <si>
    <t>คน-คืน-จังหวัด</t>
  </si>
  <si>
    <t>3) ค่าพาหนะ (รถตู้รวมค่าน้ำมัน) (2,500 บาท x 10 วัน x 15 จังหวัด)</t>
  </si>
  <si>
    <t>วัน-จังหวัด</t>
  </si>
  <si>
    <t>(1.3.3) จัดประชุมคณะกรรมการพัฒนาเมืองอุตสาหกรรมเชิงนิเวศ/คณะทำงาน/กรรมการเครือข่าย เพื่อชี้แจงโครงการ แผนงาน ของแต่ละจังหวัด อย่างน้อยจังหวัดละ 1 ครั้ง/ครั้งละ 40 คน และประชุมที่ส่วนกลาง 1 ครั้ง/ครั้งละ 50 คน</t>
  </si>
  <si>
    <t>ประชุม 15 จังหวัดๆ ละ 1 ครั้ง/40คน</t>
  </si>
  <si>
    <t xml:space="preserve">1) ค่าสถานที่จัดประชุม (10,000 บาท x 15 ครั้ง) </t>
  </si>
  <si>
    <t>2) ค่าอาหารและเครื่องดื่ม (600 บาท x 40 คน x 15 ครั้ง)</t>
  </si>
  <si>
    <t>3) ค่าเบี้ยเลี้ยงเจ้าหน้าที่ (5 คน x 240 บาท x 2 วัน x 15 ครั้ง)</t>
  </si>
  <si>
    <t>คน-วัน-ครั้ง</t>
  </si>
  <si>
    <t>4) ค่าที่พักเจ้าหน้าที่ (5 คน x 800 บาท x 15 ครั้ง)</t>
  </si>
  <si>
    <t>5) ค่าจัดเตรียมเอกสารประกอบการประชุม (70 บาท x 40 ชุด x 15 จังหวัด)</t>
  </si>
  <si>
    <t>ชุด-จังหวัด</t>
  </si>
  <si>
    <t>6) ค่าพาหนะ (รถตู้รวมค่าน้ำมัน) (2,500 บาท x 15 ครั้ง x 2 วัน)</t>
  </si>
  <si>
    <t>วัน-ครั้ง</t>
  </si>
  <si>
    <t>ประชุมที่ส่วนกลาง 1 ครั้ง/ครั้งละ 50 คน</t>
  </si>
  <si>
    <t>1) ค่าสถานที่จัดประชุม (10,000 บาท x 1 ครั้ง)</t>
  </si>
  <si>
    <t>2) ค่าอาหารและเครื่องดื่ม (600 บาท x 50 คน x 1 ครั้ง)</t>
  </si>
  <si>
    <t>3) ค่าจัดเตรียมเอกสารประกอบการประชุม (70 บาท x 50 ชุด )</t>
  </si>
  <si>
    <t>(1.3.4) ดำเนินการพัฒนาเว็บไซด์ศูนย์พัฒนาเมืองอุตสาหกรรมเชิงนิเวศและจัดทำทำเนียบเครือข่ายรวมทั้งแผนการบริหารจัดการข้อมูลด้วยระบบ digital 15 จังหวัด</t>
  </si>
  <si>
    <t>(1.3.4.1) จัดทำฐานข้อมูลที่เกี่ยวข้องให้เป็นปัจจุบันเพื่อให้มีการพัฒนาศูนย์ประสานข้อมูลพัฒนาเมืองอุตสาหกรรมเชิงนิเวศ ทั้งศูนย์ประสานข้อมูลส่วนกลางที่กรมโรงงานอุตสาหกรรมและศูนย์ประสานข้อมูลกลางการติดตามตรวจสอบและประเมินผลการพัฒนาเมืองอุตสาหกรรมเชิงนิเวศ 15 จังหวัด ให้เห็นในภาพรวมของประเทศไทยที่เป็นปัจจุบันทั้งรูปแบบ infographic และ รูปแบบ digital</t>
  </si>
  <si>
    <t>1) ค่าพัฒนาเว็บไซด์</t>
  </si>
  <si>
    <t>งาน</t>
  </si>
  <si>
    <t>2) ค่าจัดทำ application eco industrial town</t>
  </si>
  <si>
    <t>(1.3.4.2) จัดทำเนียบเครือข่าย Eco Network จำนวน 1,000 เล่มพร้อมแผ่นข้อมูล</t>
  </si>
  <si>
    <t>1) ค่าเอกสารการจัดทำเนียบ (200 บาท x 1,000 เล่ม)</t>
  </si>
  <si>
    <t>2) ค่าแผ่น DVD (1,000 แผ่น X 25 บาท)</t>
  </si>
  <si>
    <t>1) ค่าเบี้ยเลี้ยงเจ้าหน้าที่ (10 คน x 240 บาท x 5 ครั้ง x 2 วัน x 18 พื้นที่)</t>
  </si>
  <si>
    <t>คน-วัน-พื้นที่</t>
  </si>
  <si>
    <t>2) ค่าที่พักเจ้าหน้าที่ (10 คน x 800 บาท x 5 ครั้ง x 1 คืน x 18 พื้นที่)</t>
  </si>
  <si>
    <t>คน-คืน-พื้นที่</t>
  </si>
  <si>
    <t>3) ค่าเอกสารประกอบการทวนสอบและประเมินผล (100 บาท x 10 ชุด x 18 พื้นที่)</t>
  </si>
  <si>
    <t>ชุด-พื้นที่</t>
  </si>
  <si>
    <t>4) ค่าพาหนะ (รถตู้รวมค่าน้ำมัน) (2,500 บาท x 180 วัน)</t>
  </si>
  <si>
    <t>(1.3.6)ดำเนินการจัดกิจกรรมประกวดเมืองอุตสาหกรรมเชิงนิเวศ นิคมอุตสาหกรรมเชิงนิเวศ เขตประกอบการอุตสาหกรรมเชิงนิเวศ สวนอุตสาหกรรมเชิงนิเวศ ศูนย์แลกเปลี่ยนเรียนรู้ ตัวอย่างโรงงานอุตสาหกรรมเชิงนิเวศ หรือรางวัล อื่นๆที่เกี่ยวข้อง ตามที่กรมโรงงานเห็นชอบ เพื่อเป็นการกระตุ้นและส่งเสริมการพัฒนาเมืองอุตสาหกรรมเชิงนิเวศระดับจังหวัด โดยดำเนินการประชาสัมพันและจัดกิจกรรมสัมมนาผู้แทนเครือข่าย Eco Network และผู้เกี่ยวข้อง ของ 15 จังหวัดเพื่อชี้แจงการขับเคลื่อนเมืองอุตสาหกรรมเชิงนิเวศ กิจกรรมและรางวัล ประเภทต่างๆ ให้กับเครือข่ายอุตสาหกรรมเชิงนิเวศ (Eco Network)</t>
  </si>
  <si>
    <t>(1.3.6.1) จัดกิจกรรมประกวดเมืองอุตสาหกรรมเชิงนิเวศ นิคมอุตสาหกรรมเชิงนิเวศ เขตประกอบการอุตสาหกรรมเชิงนิเวศ สวนอุตสาหกรรมเชิงนิเวศ</t>
  </si>
  <si>
    <t>1) ค่าวิทยากร  (1,200 บาท x 7 ชั่วโมง)</t>
  </si>
  <si>
    <t>ชั่วโมง</t>
  </si>
  <si>
    <t>2) ค่าเอกสารประกอบการจัดกิจกรรม (70 บาท x 100 คน)</t>
  </si>
  <si>
    <t>3) ค่าพิธีกร (30,000 บาท)</t>
  </si>
  <si>
    <t>4) ค่าสถานที่จัดประชุม (10,000 บาท)</t>
  </si>
  <si>
    <t>5) ค่าอาหารและเครื่องดื่ม (600 บาท x 100 คน )</t>
  </si>
  <si>
    <t>6) ค่ารถโดยสาร (รถตู้รวมค่าน้ำมัน) (2,500 บาท x 8 คัน)</t>
  </si>
  <si>
    <t>คัน</t>
  </si>
  <si>
    <t xml:space="preserve">(1.3.6.2) จัดกิจกรรม สัมมนาผู้แทนเครือข่าย Eco Network และผู้เกี่ยวข้องของ 15 จังหวัดเพื่อชี้แจงการขับเคลื่อนเมืองอุตสาหกรรมเชิงนิเวศ </t>
  </si>
  <si>
    <t xml:space="preserve">2) ค่าเอกสารประกอบการจัดกิจกรรม (70 บาท x 50) </t>
  </si>
  <si>
    <t>3) ค่าสถานที่จัดประชุม (10,000 บาท)</t>
  </si>
  <si>
    <t>4) ค่าอาหารว่างและเครื่องดิ่ม (600 บาท x 50 คน )</t>
  </si>
  <si>
    <t>5) ค่ารถโดยสาร (รถตู้รวมค่าน้ำมัน) (2,500บาท x 8 คัน)</t>
  </si>
  <si>
    <t>(1.3.7) จัดฝึกอบรมหลักสูตรการตรวจประเมินการเป็นเมืองอุตสาหกรรมเชิงนิเวศนิคมอุตสาหกรรมเชิงนิเวศ เขตประกอบการอุตสาหกรรมเชิงนิเวศ สวนอุตสาหกรรมเชิงนิเวศ โรงงานอุตสาหกรรมเชิงนิเวศ โรงงานสีเขียว เจ้าหน้าที่อุตสาหกรรมจังหวัด เครือข่ายอุตสาหกรรมเชิงนิเวศ 15 จังหวัด จำนวนอย่างน้อย50 คน/จังหวัด ระยะเวลาอย่างน้อย 3 วัน</t>
  </si>
  <si>
    <t xml:space="preserve"> - ค่าวิทยากร (1,200 บาท x 7 ชั่วโมง x 3 วัน x 15 จังหวัด)</t>
  </si>
  <si>
    <t>ชั่วโมง-วัน-จังหวัด</t>
  </si>
  <si>
    <t xml:space="preserve"> - ค่าสถานที่จัดประชุม (10,000 บาท x 15 จังหวัด x 3 วัน)</t>
  </si>
  <si>
    <t xml:space="preserve"> - ค่าอาหารและเครื่องดื่ม (600 บาท x 50 คน x 3วัน x 15 จังหวัด)</t>
  </si>
  <si>
    <t>คน-จังหวัด</t>
  </si>
  <si>
    <t xml:space="preserve"> - ค่าเบี้ยเลี้ยงเจ้าหน้าที่ (5 คน x 240 บาท x 3 วัน x 15 จังหวัด)</t>
  </si>
  <si>
    <t>คน-จังหวัด-วัน</t>
  </si>
  <si>
    <t xml:space="preserve"> - ค่าที่พักเจ้าหน้าที่ (5 คน x 800 บาท x 15 จังหวัด x 2 คืน)</t>
  </si>
  <si>
    <t>คน-จังหวัด-คืน</t>
  </si>
  <si>
    <t xml:space="preserve"> - ค่าจัดเตรียมเอกสารประกอบการประชุม (70 บาท x 50 ชุด x 15 จังหวัด)</t>
  </si>
  <si>
    <t xml:space="preserve"> - ค่ารถโดยสาร (รถตู้รวมค่าน้ำมัน) (2,500 บาท x 3 วัน x 15 จังหวัด)</t>
  </si>
  <si>
    <t xml:space="preserve"> - ค่าจัดทำคู่มือตัวชี้วัดเมืองอุตสาหกรรมเชิงนิเวศ จำนวน (3,000 เล่ม x 250 บาท)</t>
  </si>
  <si>
    <t xml:space="preserve"> - ค่า DVD คู่มือตัวชี้วัดเมืองอุตสาหกรรมเชิงนิเวศ (3,000 ชุด x 25 บาท)</t>
  </si>
  <si>
    <t>(1.3.8) จัดฝึกอบรมหลักสูตรการตรวจประเมินการเป็นเมืองอุตสาหกรรมเชิงนิเวศ 15 จังหวัด โรงงานสีเขียว/ISO14001 / ISO18001 / ISO19001/LCA จำนวนไม่น้อยกว่า 30 คน ระยะเวลาอย่างน้อย 14 วัน</t>
  </si>
  <si>
    <t>1) ค่าวิทยากร (1,200 บาท x 7 ชั่วโมง x 14 วัน)</t>
  </si>
  <si>
    <t>ชั่วโมง-วัน</t>
  </si>
  <si>
    <t>2) ค่าสถานที่จัดประชุม (10,000 บาท x 14 วัน)</t>
  </si>
  <si>
    <t>3) ค่าอาหารและเครื่องดื่ม (600 บาท x 30 คน x 14 วัน)</t>
  </si>
  <si>
    <t>4) ค่าเบี้ยเลี้ยงเจ้าหน้าที่ (5 คน x 240 บาท x 14 วัน)</t>
  </si>
  <si>
    <t>5) ค่าที่พักเจ้าหน้าที่ (5 คน x 800 บาท x 14วัน)</t>
  </si>
  <si>
    <t>6) ค่าที่พักผู้รับการฝึกอบรม (30 คน x 800 บาท x 14 วัน)</t>
  </si>
  <si>
    <t>7) ค่าจัดเตรียมเอกสารประกอบการประชุม (70 บาท x 30 ชุด)</t>
  </si>
  <si>
    <t>8) ค่ารถโดยสาร (รถตู้รวมค่าน้ำมัน) (2,500บาท x 14 วัน)</t>
  </si>
  <si>
    <t>2) ค่าวิทยากร (1,200 บาท x 7 ชั่วโมง x 2 วัน)</t>
  </si>
  <si>
    <t>3) ค่าอาหารและเครื่องดื่ม (600 บาท x 80 คน x 2 วัน)</t>
  </si>
  <si>
    <t>4) ค่าเบี้ยเลี้ยงเจ้าหน้าที่ (5 คน x 240 บาท x 2 วัน)</t>
  </si>
  <si>
    <t>5) ค่าที่พักเจ้าหน้าที่ (5 คน x 800 บาท x 1 คืน)</t>
  </si>
  <si>
    <t>7) ค่าจัดเตรียมเอกสารประกอบการประชุม (70 บาท x 80 ชุด)</t>
  </si>
  <si>
    <t>8) ค่ารถโดยสาร (รถตู้รวมค่าน้ำมัน) (2,500บาท x 3 วัน)</t>
  </si>
  <si>
    <t>(1.3.10) ดำเนินการจัดกิจกรรมมอบรางวัล ประชาสัมพันธ์ นิทรรศการ ผลการดำเนินการเมืองอุตสาหกรรมเชิงนิเวศ ในภาพรวม 15 จังหวัด</t>
  </si>
  <si>
    <t>1) ค่าปิดตัวโครางการ</t>
  </si>
  <si>
    <t>2) ค่าสถานที่และตกแต่ง</t>
  </si>
  <si>
    <t>3) ค่าพิธีกรดำเนินการ</t>
  </si>
  <si>
    <t>4) ค่าเอกสารประกอบการจัดกิจกรรม (70 บาท x 200 ชุด)</t>
  </si>
  <si>
    <t>5) ค่าจัดทำวิดีทัศน์แนะนำโครงการฯ (ความยาวไม่น้อยกว่า 3 นาที)</t>
  </si>
  <si>
    <t>6) ค่าแผ่นป้ายแบนเนอร์ ขนาด 1.2 x 2.4  เมตร (2 ชิ้น x 500 บาท)</t>
  </si>
  <si>
    <t>ชิ้น</t>
  </si>
  <si>
    <t>7) ค่าโล่รางวัล (500 x 100 รางวัล)</t>
  </si>
  <si>
    <t>รางวัล</t>
  </si>
  <si>
    <t>8) ค่าจัดทำบอร์ดนิทรรศการโครงการ</t>
  </si>
  <si>
    <t>9) ค่าอุปกรณ์โสตฯ (10,000 บาท )</t>
  </si>
  <si>
    <t>10) ค่าถ่ายภาพ บันทึกวีดีโอ (10,000 บาท)</t>
  </si>
  <si>
    <t>11) ค่าเบี้ยเลี้ยงเจ้าหน้าที่ (5 คน x 240 บาท)</t>
  </si>
  <si>
    <t>12) ค่าอาหารและเครื่องดื่ม (600 บาท x 200 คน)</t>
  </si>
  <si>
    <t>13) ค่ารถโดยสาร (รถตู้รวมค่าน้ำมัน) (2,500 บาท x 3 คัน)</t>
  </si>
  <si>
    <t>1) ค่าเอกสารสรุปผลการดำเนินการ (250 บาท x 50 เล่ม x 15 จังหวัด)</t>
  </si>
  <si>
    <t>เล่ม-จังหวัด</t>
  </si>
  <si>
    <t>2) ค่าแผ่นข้อมูล DVD (100 ชุด x 25 บาท)</t>
  </si>
  <si>
    <t xml:space="preserve">(1.3.12) จัดทำเอกสารสรุปผลการดำเนินงานเสนอผู้บริหาร  </t>
  </si>
  <si>
    <t>1) รายงานฉบับที่ 1</t>
  </si>
  <si>
    <t>1) รายงานฉบับที่ 2</t>
  </si>
  <si>
    <t>1) รายงานฉบับที่ 3</t>
  </si>
  <si>
    <t>2) รายงานฉบับที่ 4 และบทสรุป</t>
  </si>
  <si>
    <t xml:space="preserve">รวมเงิน
</t>
  </si>
  <si>
    <t>(1)</t>
  </si>
  <si>
    <t>(1.1) บุคลากร</t>
  </si>
  <si>
    <t>1. เพื่อส่งเสริมและพัฒนาองค์ความรู้ด้านการพัฒนา</t>
  </si>
  <si>
    <t>เมืองอุตสาหกรรมเชิงนิเวศให้เครือข่ายอุตสาหกรรม</t>
  </si>
  <si>
    <t>ผู้เชี่ยวชาญด้านสิ่งแวดล้อม ความปลอดภัยและอาชีวอนามัย</t>
  </si>
  <si>
    <t xml:space="preserve">เชิงนิเวศ (Eco Network) ในพื้นที่ 15 จังหวัด </t>
  </si>
  <si>
    <t>ผู้เชี่ยวชาญด้านเศรษฐกิจและสังคม</t>
  </si>
  <si>
    <t>การเงิน</t>
  </si>
  <si>
    <t>เพื่อขับเคลื่อนการดำเนินการพัฒนาเมืองอุตสาหกรรม</t>
  </si>
  <si>
    <t>ผู้เชี่ยวชาญด้านสถิติและเทคโนโลยีสารสนเทศ</t>
  </si>
  <si>
    <t>เทคโนโลยี</t>
  </si>
  <si>
    <t>เชิงนิเวศ</t>
  </si>
  <si>
    <t>ผู้เชี่ยวชาญด้านการจัดการอุตสาหกรรม</t>
  </si>
  <si>
    <t>2. เพื่อส่งเสริมการมีส่วนร่วมของเครือข่ายอุตสาหกรรม</t>
  </si>
  <si>
    <t>ผู้เชี่ยวชาญด้านการวางแผนพัฒนา</t>
  </si>
  <si>
    <t>เชิงนิเวศ (Eco Network) ในพื้นที่ 15 จังหวัดเพื่อมุ่ง</t>
  </si>
  <si>
    <t>ที่ปรึกษาด้านการมีส่วนร่วมของประชาชน</t>
  </si>
  <si>
    <t>สู่ความเป็นเมืองอุตสาหกรรมเชิงนิเวศ</t>
  </si>
  <si>
    <t>ผู้จัดการด้านการตรวจประเมินและการรับรองระบบ</t>
  </si>
  <si>
    <t>3. เพื่อสรุปและประเมินผลการดำเนินงานของเครือข่าย</t>
  </si>
  <si>
    <t>นักวิชาการเศรษฐกิจหรือสังคม</t>
  </si>
  <si>
    <t xml:space="preserve">อุตสาหกรรมเชิงนิเวศ (Eco Network) ในพื้นที่ 15 </t>
  </si>
  <si>
    <t>จังหวัด</t>
  </si>
  <si>
    <t xml:space="preserve">เจ้าหน้าที่สนับสนุนโครงการ  </t>
  </si>
  <si>
    <t>4. เพื่อสร้างกระบวนการติดตามและประเมินผลการ</t>
  </si>
  <si>
    <t>ผู้ประสานงานโครงการ</t>
  </si>
  <si>
    <t xml:space="preserve">ดำเนินงานของเครือข่ายอุตสาหกรรมเชิงนิเวศ </t>
  </si>
  <si>
    <t xml:space="preserve">เจ้าหน้าที่สนับสนุนโครงการ (ประจำกรมโรงงาน)  </t>
  </si>
  <si>
    <t>(Eco Network) ในพื้นที่ 15 จังหวัด</t>
  </si>
  <si>
    <t>2. ศึกษาและรวบรวมข้อมูลเครือข่ายอุตสาหกรรมเชิงนิเวศ (Eco Network) ในพื้นที่ 15 จังหวัด พร้อมทั้งจัดทำฐานข้อมูลในรูปอิเล็กทรอนิกส์ไฟล์</t>
  </si>
  <si>
    <t>เบี้ยเลี้ยงเจ้าหน้าที่ (240 x 7 คน x 3 วัน x 15 จังหวัด)</t>
  </si>
  <si>
    <t>ค่าที่พักเจ้าหน้าที่ (1200 บาท x จำนวน 7 คน x 3 คืน x 15 จังหวัด)</t>
  </si>
  <si>
    <t>ค่าเครื่องบินเจ้าหน้าที่ (5,000 บาท x  7 คน x 3 จังหวัด) (สงขลา, สุราษฏร์ธานี, ขอนแก่น)</t>
  </si>
  <si>
    <t>ค่ารถโดยสาร (รถตู้รวมค่าน้ำมัน) (2500 บาท x 3 วัน x 15 จังหวัด)</t>
  </si>
  <si>
    <t>ค่าอุปกรณ์จัดเก็บฐานข้อมูลในรูปอิเล็กทรอนิกส์ไฟล์</t>
  </si>
  <si>
    <t>- คอมพิวเตอร์โน้ตบุ๊ก</t>
  </si>
  <si>
    <t>- คอมพิวเตอร์แท็บเล็ต (30,000 บาท x 15 จังหวัด)</t>
  </si>
  <si>
    <t>ค่าใช้จ่ายอื่นๆ (50,000 บาท x 15 จังหวัด)</t>
  </si>
  <si>
    <t xml:space="preserve">3. จัดฝึกอบรมหลักสูตรการส่งเสริม และการพัฒนาองค์ความรู้ด้านการพัฒนาเมืองอุตสาหรรมเชิงนิเวศให้กับเครือข่ายอุตสาหกรรมเชิงนิเวศ 2 วัน/ครั้ง 1 ครั้ง/จังหวัด 50 คน </t>
  </si>
  <si>
    <t>ค่าเอกสารประกอบการประชุม (200 บาท x 50 คน x 2 วัน x 1 ครั้ง x 15 จังหวัด)</t>
  </si>
  <si>
    <t>ค่าสถานที่จัดประชุม (50,000 บาท x 2 วัน x  1 ครั้ง x 15 จังหวัด)</t>
  </si>
  <si>
    <t>ค่าอาหารว่าง (50 บาท x 50 คน x 4 มื้อ x 1 ครั้ง x 15 จังหวัด)</t>
  </si>
  <si>
    <t>คน-มื้อ-จังหวัด</t>
  </si>
  <si>
    <t>ค่าอาหารกลางวัน  (500 บาท x 50 คน x 2 มื้อ x 1 ครั้ง x 15 จังหวัด)</t>
  </si>
  <si>
    <t>ค่าที่พักผู้เข้าร่วมอบรม (1,200 บาท x 50 คน x 1 คืน x 15 จังหวัด)</t>
  </si>
  <si>
    <t>ค่าที่พักเจ้าหน้าที่  (1,200 บาท x 5 คน x 2 คืน x 15 จังหวัด)</t>
  </si>
  <si>
    <t>ค่ารถ รวมน้ำมัน  (2,500 บาท x 1 คัน x  2 วัน x 15 จังหวัด)</t>
  </si>
  <si>
    <t>เบี้ยเลี้ยงเจ้าหน้าที่ (240 บาท x 5 คน x  2 วัน x 15 จังหวัด</t>
  </si>
  <si>
    <t>ค่าสมนาคุณวิทยากร (1,600 บาท x 8 ชั่วโมง x 2 วัน)</t>
  </si>
  <si>
    <t>ค่าเครื่องบินไป-กลับ วิทยากร (5,000 บาท x  1 คน x 3 จังหวัด) (สงขลา, สุราษฏร์ธานี, ขอนแก่น)</t>
  </si>
  <si>
    <t xml:space="preserve">4. จัดฝึกอบรมหลักสูตรแนวทางการส่งเสริมและการพัฒนาองค์ความรู้ด้านการพัฒนาเครือข่ายอุตสาหกรรมเชิงนิเวศ 2 วัน/ครั้ง 1 ครั้ง/จังหวัด 50 คน </t>
  </si>
  <si>
    <t>ที่พักเจ้าหน้าที่  (1,200 บาท x 5 คน x 2 คืน x 15 จังหวัด)</t>
  </si>
  <si>
    <t>5. ประชาสัมพันธ์การดำเนินการพัฒนาเครือข่ายอุตสาหกรรมเชิงนิเวศ</t>
  </si>
  <si>
    <t>ประชาสัมพันธ์ผ่านวิทยุชุมชน ( 100 บาท/30 วินาที x 30 นาที x 2 ครั้ง x 15 จังหวัด)</t>
  </si>
  <si>
    <t>นาที-ครั้ง-จังหวัด</t>
  </si>
  <si>
    <t>ประชาสัมพันธ์ผ่านหนังสือพิมพ์ (341,000 บาท x 3 ฉบับ)</t>
  </si>
  <si>
    <t>ประชาสัมพันธ์ผ่านโทรทัศน์ (450,000 บาท x 2 นาที)</t>
  </si>
  <si>
    <t>นาที</t>
  </si>
  <si>
    <t>6. จัดศึกษาดูงานในพื้นที่ต้นแบบที่ประสบความสำเร็จและเป็นที่ยอมรับในการพัฒนาเครือข่ายอุตสาหกรรมเชิงนิเวศ</t>
  </si>
  <si>
    <t>ค่าเครื่องบินไป-กลับ (50,000 บาท x  30 คน)</t>
  </si>
  <si>
    <t>ค่าที่พักผู้เข้าร่วมศึกษาดูงาน (10,500 บาท x 3 คืน x 30 คน)</t>
  </si>
  <si>
    <t>คืน-คน</t>
  </si>
  <si>
    <t>ค่าที่เบี้ยเลี้ยงผู้เข้าร่วมศึกษาดูงาน (2,100 บาท x 3 วัน x 30 คน)</t>
  </si>
  <si>
    <t>วัน-คน</t>
  </si>
  <si>
    <t>ค่ารถโดยสาร (รถทัวร์) (55,000บาท x 3 วัน)</t>
  </si>
  <si>
    <t>ค่ามัคคุเทศก์ (10,000บาท x 3 วัน)</t>
  </si>
  <si>
    <t>7. จัดประชุมสัมมนาเพื่อเผยแพร่ผลการดำเนินโครงการส่งเสริมและยกระดับเครือข่ายอุตสาหกรรมเชิงนิเวศ พร้อมทั้งมอบรางวัลให้กับเครือข่ายอุตสาหกรรมเชิงนิเวศ</t>
  </si>
  <si>
    <t>ค่าสถานที่ พร้อมตกแต่งและสิ่งอำนวยความสะดวก</t>
  </si>
  <si>
    <t>พิธีกร (1 คน /1 ครั้ง)</t>
  </si>
  <si>
    <t>เบี้ยเลี้ยงเจ้าหน้าที่ ( 600 บาท x 50 คน)</t>
  </si>
  <si>
    <t>ค่าเช่ารถ รวมน้ำมัน (2500 บาท x 10 คัน x 1 วัน)</t>
  </si>
  <si>
    <t>โล่รางวัล ( 1000 บาทx  750 อัน)</t>
  </si>
  <si>
    <t>ประกาศเกียรติบัตร ( 100 บาทx  750 ใบ)</t>
  </si>
  <si>
    <t>ค่าแผ่นพับประชาสัมพันธ์ ขนาด A4 พิมพ์ 4 สี 2 หน้าพับ 3 ตอน (2.15 บาท x 2500 ชุด)</t>
  </si>
  <si>
    <t>ค่าเอกสารประกอบการสัมมนาประชาสัมพันธ์ (100 บาท x 500 ชุด)</t>
  </si>
  <si>
    <t>โปสเตอร์ประชาสัมพันธ์ ขนาด A2 พิมพ์ 4 สี (6.85 บาท x 500 ชุด)</t>
  </si>
  <si>
    <t>แผ่นป้ายแบนเนอร์ ขนาด 1.2x2.4 เมตร (510 บาท x 75 ชุด)</t>
  </si>
  <si>
    <t xml:space="preserve">เอกสารและสื่ออิเลคทรอนิกส์ </t>
  </si>
  <si>
    <t>วิดีทัศน์แนะนำโครงการฯ (ความยาวไม่น้อยกว่า 3 นาที)</t>
  </si>
  <si>
    <t>ค่าอุปกรณ์แสงและเสียง</t>
  </si>
  <si>
    <t>ค่าของที่ระลึกสำหรับผู้เข้าร่วมงาน (500 บาท x 750 ชุด)</t>
  </si>
  <si>
    <t>8. จัดทำเอกสารสรุปผลการดำเนินงานเสนอผู้บริหาร</t>
  </si>
  <si>
    <t xml:space="preserve">แผนการดำเนินโครงการ 12 ฉบับ พร้อม CD-Rom 1 แผ่น (500 บาท x 12 ฉบับ) </t>
  </si>
  <si>
    <t>รายงานสรุปประเมินประสิทธิภาพและประเมินประสิทธิผลการดำเนินงานของเครือข่ายของอุตสาหกรรมเชิงนิเวศ 300 ฉบับ พร้อม CD-Rom 1 แผ่น</t>
  </si>
  <si>
    <t>จัดทำรายงานการติดตามและประเมินผลการดำเนินงานของเครือข่ายอุตสาหกรรมเชิงนิเวศ 300 ฉบับ พร้อม CD-Rom 1 แผ่น (800 บาท*300 ฉบับ)</t>
  </si>
  <si>
    <t>ร่างรายงานฉบับสมบูรณ์ 12 ฉบับ พร้อม CD-Rom 1 แผ่นพร้อม CD-Rom</t>
  </si>
  <si>
    <t>1) รายงานฉบับสมบูรณ์ ภาษาไทย 12 ฉบับ พร้อม CD-Rom</t>
  </si>
  <si>
    <t>2) รายงานสรุปสำหรับผู้บริหารภาษาไทย</t>
  </si>
  <si>
    <t>2) รายงานสรุปสำหรับผู้บริหารภาษาอังกฤษ</t>
  </si>
  <si>
    <t>วิทยาศาสตร์</t>
  </si>
  <si>
    <t xml:space="preserve"> - พนักงานพิมพ์ดีด/เจ้าหน้าที่บันทึกข้อมูล</t>
  </si>
  <si>
    <t>(1.3) ค่าใช้จ่ายอื่น</t>
  </si>
  <si>
    <t>คืน</t>
  </si>
  <si>
    <t>โรงงาน</t>
  </si>
  <si>
    <t>ตร.ม.</t>
  </si>
  <si>
    <t>บาท</t>
  </si>
  <si>
    <t xml:space="preserve"> </t>
  </si>
  <si>
    <t xml:space="preserve">3) เพื่อให้มีการรวบรวมและสรุปข้อมูลโรงงานในพื้นที่เป้าหมาย 7 จังหวัด ในเรื่องมาตรฐานทางด้านสิ่งแวดล้อมและความปลอดภัย ข้อมูลการไหลวัตถุดิบ รวมทั้งข้อมูลอื่นๆเกี่ยวกับอุตสาหกรรมเชิงนิเวศในพื้นที่เพื่อนำมาวางแผนวิเคราะห์ พัฒนาความเป็นเมืองอุตสาหกรรมเชิงนิเวศในระดับที่สูงขึ้นต่อไป </t>
  </si>
  <si>
    <t>ยุทธศาสตร์ด้านการสร้างความสามารถในการแข่งขันของประเทศ</t>
  </si>
  <si>
    <t>แผนงานบูรณาการ : พัฒนาผู้ประกอบการและเศรษฐกิจชุมชน และวิสาหกิจขนาดกลางและขนาดย่อมสู่สากล</t>
  </si>
  <si>
    <t xml:space="preserve">กิจกรรม : ปรับเปลี่ยนเครื่องจักรเพื่อเพิ่มประสิทธิภาพ </t>
  </si>
  <si>
    <t>รายการ :  ค่าใช้จ่ายในการปรับเปลี่ยนเครื่องจักรเพื่อเพิ่มประสิทธิภาพ</t>
  </si>
  <si>
    <t>วัตถุประสงค์ของโครงการ</t>
  </si>
  <si>
    <t>1. จัดให้มีการเผยแพร่ ให้ความรู้ และให้คำแนะนำในรายละเอียดเชิงลึกที่เกี่ยวกับเพื่อเพิ่มประสิทธิภาพการผลิต หรือลดต้นทุนด้านพลังงาน หรือลดต้นทุนด้านสิ่งแวดล้อม หรือมีการใช้นวัตกรรมเพื่อปรับปรุงประสิทธิภาพการผลิต ให้แก่ผู้ประกอบการเอสเอ็มอี</t>
  </si>
  <si>
    <t>2. เพื่อเพิ่มศักยภาพทางการแข่งขันให้กับกลุ่มอุตสาหกรรม SMEs โดยการปรับเปลี่ยนเครื่องจักรเพื่อเพิ่มประสิทธิภาพ</t>
  </si>
  <si>
    <t>2. เครื่องจักรของผู้ประกอบการ SME ได้รับการตรวจสอบและจัดทำรายงานผลการปรับเปลี่ยนเครื่องจักรเพื่อเพิ่มประสิทธิภาพการผลิต หรือลดต้นทุนด้านพลังงาน หรือลดต้นทุนด้านสิ่งแวดล้อม หรือมีการใช้นวัตกรรมเพื่อปรับปรุงประสิทธิภาพการผลิต เครื่องจักรของผู้ประกอบการที่ได้รับการปรับเปลี่ยนสามารถเพิ่มประสิทธิภาพการผลิต</t>
  </si>
  <si>
    <t>1. บุคลากรของผู้ประกอบการ SME รับทราบแนวทางปรับเปลี่ยนเครื่องจักรเพื่อเพิ่มประสิทธิภาพ</t>
  </si>
  <si>
    <t>ประโยชน์ที่จะได้รับ</t>
  </si>
  <si>
    <t xml:space="preserve">   (1.3) ค่าใช้จ่ายในการดำเนินการ</t>
  </si>
  <si>
    <t>2.1 โครงการช่วยเหลือและติดตามโรงงานที่ขาดการจัดการกากอุตสาหกรรม</t>
  </si>
  <si>
    <t>2.2  โครงการพัฒนาและยกระดับผู้ประกอบการจัดการของเสียอันตรายภาคอุตสาหกรรม</t>
  </si>
  <si>
    <t>วศ/วท</t>
  </si>
  <si>
    <t>แผนงานบูรณาการ : การพัฒนาเมืองอุตสาหกรรมเชิงนิเวศและการจัดการมลพิษและสิ่งแวดล้อม</t>
  </si>
  <si>
    <t>2.3 โครงการปรับปรุงและพัฒนาระบบสารสนเทศการจัดการกากของเสียอุตสาหกรรม</t>
  </si>
  <si>
    <t>2.4 โครงการพัฒนาศักยภาพการใช้ประโยชน์กากของเสีย</t>
  </si>
  <si>
    <t>รายการค่าใช้จ่ายในการพัฒนาศักยภาพการใช้ประโยชน์กากของเสีย</t>
  </si>
  <si>
    <t xml:space="preserve">       -  ผู้เชี่ยวชาญด้านพลังงานและสิ่งแวดล้อม</t>
  </si>
  <si>
    <t>1.เพื่อส่งเสริมการหมุนเวียนใช้ประโยชน์ของเสียและลดปริมาณของเสียที่ต้องกำจัด</t>
  </si>
  <si>
    <t>2.เพื่อจัดทำตัวอย่างความสำเร็จของการนำของเสียที่ฝังกลบมาใช้ประโยชน์ในระดับอุตสาหกรรม</t>
  </si>
  <si>
    <t>3.เพื่อส่งเสริม และกระตุ้นความรู้ ความเข้าใจของภาคอุตสาหกรรม ในการจัดการกากอุตสาหกรรมตามหลัก 3Rs</t>
  </si>
  <si>
    <t>4.เพื่อส่งเสริมการนำกากอุตสาหกรรมไปใช้ประโยชน์โดยเฉพาะในรูปแบบการนำไปใช้เป็นพลังงาน</t>
  </si>
  <si>
    <t>โรงงานคัดแยกและรีไซเคิลซากผลิตภัณฑ์เครื่องใช้ไฟฟ้าและอิเล็กทรอนิกส์กำจัด ได้รับการยกระดับการให้บริการและการประกอบกิจการจัดการซากผลิตภัณฑ์เครื่องใช้ไฟฟ้าและอิเล็กทรอนิกส์ให้เป็นมาตรฐาน   เกิดการจัดการของเสียอย่างยั่งยืน ลดปัญหาการร้องเรียน และปนเปื้อนของมลพิษสู่สิ่งแวดล้อม</t>
  </si>
  <si>
    <t>2.5 โครงการเพิ่มประสิทธิภาพโรงงานคัดแยกและรีไซเคิลซากผลิตภัณฑ์ไฟฟ้าและอิเล็กทรอนิกส์</t>
  </si>
  <si>
    <t>กิจกรรม : การพัฒนาเมืองอุตสาหกรรมเชิงนิเวศ</t>
  </si>
  <si>
    <t>รายการ : ค่าใช้จ่ายในการพัฒนาเมืองอุตสาหกรรมเชิงนิเวศ</t>
  </si>
  <si>
    <t xml:space="preserve">3.1 โครงการส่งเสริมโรงงานอุตสาหกรรมให้มีความรับผิดชอบต่อสังคมและชุมชนอย่างยั่งยืน (CSR Beginner and CSR-DIW) </t>
  </si>
  <si>
    <t>เพื่อให้เกิดความร่วมมือกันของผู้ประกอบกิจการโรงงานอุตสาหกรรม ที่ได้รับเกียรติบัตรตามมาตรฐานความรับผิดชอบของผู้ประกอบกิจการโรงงานอุตสาหกรรม ต่อสังคมตั้งแต่ปี ๒๕๕๑ จนถึงปัจจุบัน ในรูปแบบเครือข่าย สำหรับการแลกเปลี่ยนเรียนรู้ ประสบการณ์ ความชำนาญสามารถดำเนินงานด้านความรับผิดชอบต่อสังคม ให้เกิดผลที่เป็นรูปธรรมโดยใช้เวลาและทรัพยากรน้อยที่สุดและมีความรับผิดชอบต่อสังคมและชุมชนอย่างยั่งยืน</t>
  </si>
  <si>
    <t>3. เพื่อส่งเสริมให้โรงงานอุตสาหกรรม มีความรู้ ความเข้าใจหลักการอุตสาหกรรมสีเขียว และพัฒนาสู่ความเป็นอุตสาหกรรมสีเขียวในระดับที่ 2 ปฏิบัติการสีเขียว(Green Activity) และระดับที่ 3 ระบบสีเขียว(Green System)</t>
  </si>
  <si>
    <t xml:space="preserve">4. เพื่อเสริมสร้างวิสาหกิจและสนับสนุนให้มีความเข้มแข็ง </t>
  </si>
  <si>
    <t>(1.3.6) การทวนสอบ (Verification) กลุ่ม CSR-DIW beginner กลุ่มที่ 1 หัวข้อหลักด้านสิ่งแวดล้อม (โดยที่ปรึกษา) (400 โรงงาน)</t>
  </si>
  <si>
    <t>3.2 โครงการจัดทำฐานข้อมูลเพื่อการแลกเปลี่ยนหรือใช้ทรัพยากรร่วมกัน(RECP) และยกระดับโรงงานอุตสาหกรรมในพื้นที่เมืองอุตสาหกรรมเชิงนิเวศ 8 จังหวัดในพื้นที่เป้าหมาย (จังหวัดระยอง สมุทรปราการ สมุทรสาคร ฉะเชิงเทรา ปราจีนบุรี ชลบุรี นครปฐม และปทุมธานี) เพื่อเป็นเมืองอุตสาหกรรมเชิงนิเวศระดับ 2</t>
  </si>
  <si>
    <r>
      <t>3) เพื่อให้มีการรวบรวมและสรุปข้อมูลโรงงานในพื้นที่เป้าหมาย 7 จังหวัด ในเรื่องมาตรฐานทางด้านสิ่งแวดล้อมและความปลอดภัย ข้อมูลการไหลวัตถุดิบ รวมทั้งข้อมูลอื่นๆเกี่ยวกับอุตสาหกรรมเชิงนิเวศในพื้นที่เพื่อนำมาวางแผนวิเคราะห์ พัฒนาความเป็นเมืองอุตสาหกรรมเชิงนิเวศในระดับที่สูงขึ้นต่อไป</t>
    </r>
    <r>
      <rPr>
        <strike/>
        <sz val="14"/>
        <rFont val="TH SarabunPSK"/>
        <family val="2"/>
      </rPr>
      <t xml:space="preserve"> </t>
    </r>
  </si>
  <si>
    <r>
      <t xml:space="preserve">(1.3.4) คัดเลือกโรงงานอุตสาหกรรมที่มีมาตรฐานน้อยกว่า มาตรฐาน GI 2 หรือมาตรฐานอื่นที่เทียบเท่า เข้าร่วมกิจกรรมให้คำแนะนำปรึกษาเชิงลึกในการปรับปรุงยกระดับให้กับโรงงานอุตสาหกรรม โดยเจ้าหน้าที่จากกรมโรงงานอุตสาหกรรม จำนวนไม่น้อยกว่า 20 โรงงาน </t>
    </r>
    <r>
      <rPr>
        <b/>
        <sz val="14"/>
        <color rgb="FFFF0000"/>
        <rFont val="TH SarabunPSK"/>
        <family val="2"/>
      </rPr>
      <t>(กรมโรงงานอุตสาหกรรมดำเนินการเอง)</t>
    </r>
  </si>
  <si>
    <t>3.3 โครงการจัดทำฐานข้อมูลเพื่อการแลกเปลี่ยนหรือใช้ทรัพยากรร่วมกัน (RECP)และยกระดับโรงงานอุตสาหกรรมในพื้นที่เมืองอุตสาหกรรมเชิงนิเวศ 7 จังหวัด ในพื้นที่เป้าหมาย (จังหวัดพระนครศรีอยุธยา สระบุรี นครราชสีมา ขอนแก่น ราชบุรี สุราษฎร์ธานี และสงขลา)เพื่อเป็นเมืองอุตสาหกรรมเชิงนิเวศระดับ 2 (ในส่วนภาคอุตสาหกรรม)</t>
  </si>
  <si>
    <t>(1.3) ค่าใช้จ่ายในการดำเนินการ</t>
  </si>
  <si>
    <t>ยุทธศาสตร์ด้านการจัดการน้ำและสร้างการเติบโตบนคุณภาพชีวิตที่เป็นมิตรกับสิ่งแวดล้อมอย่างยั่งยืน</t>
  </si>
  <si>
    <r>
      <t xml:space="preserve">จัดประชุมชี้แจงผลการประเมินผลดำเนินงานโครงการ จำนวน 1 ครั้ง </t>
    </r>
    <r>
      <rPr>
        <b/>
        <sz val="14"/>
        <color rgb="FFFF0000"/>
        <rFont val="TH SarabunPSK"/>
        <family val="2"/>
      </rPr>
      <t>(ดำเนินการเอง)</t>
    </r>
  </si>
  <si>
    <t>1. เพื่อสำรวจและประเมินผลเกี่ยวกับการรับรู้เข้าใจปัญหาและการเสริมสร้างการมีส่วนร่วมของทุกภาคส่วนที่เข้าร่วมโครงการตามแผนการปฏิบัติการภายใต้แผนแม่บทการพัฒนาเมืองอุตสาหกรรมเชิงนิเวศ 15 จังหวัด 18 พื้นที่</t>
  </si>
  <si>
    <t>2. เพื่อสำรวจ ติดตาม ประเมินผลประสิทธิภาพและประเมินผลการขับเคลื่อนแผนปฏิบัติการภายใต้แผนแม่บทการพัฒนาเมืองอุตสาหกรรมเชิงนิเวศ 15 จังหวัด 18 พื้นที่ ไปสู่การปฏิบัติ ปี 2562</t>
  </si>
  <si>
    <t>2.มีการพัฒนาและยกระดับโรงงานในพื้นที่เป้าหมาย 8 จังหวัดให้ได้มาตรฐานตรงตามตัวชี้วัดการพัฒนาเมืองอุตสาหกรรมเชิงนิเวศระดับ 2 ในส่วนภาคอุตสาหกรรม และสามารถนำมาวางแผนวิเคราะห์ พัฒนาความเป็นเมืองอุตสาหกรรมเชิงนิเวศในระดับที่สูงขึ้นต่อไป ตามเป้าหมายการพัฒนาเมืองอุตสาหกรรมเชิงนิเวศ</t>
  </si>
  <si>
    <t>3.ภาคอุตสาหกรรมสามารถสร้างความเชื่อมั่นและไว้วางใจให้กับประชาชนในการบริหารจัดการภาคอุตสาหกรรมให้ประกอบกิจการโรงงาน โดยคำนึงถึงการรับผิดชอบต่อสังคม ชุมชน สิ่งแวดล้อม และมุ่งสู่การอยู่ร่วมกันอย่างยั่งยืนอย่างปกติสุขระหว่างชุมชน ลดการต่อต้านจากประชาชน</t>
  </si>
  <si>
    <t xml:space="preserve">1.สร้างโอกาสในการแลกเปลี่ยนของเสียหรือพลังงานของโรงงานในพื้นที่เป้าหมาย 8 จังหวัด ให้สามารถใช้ทรัพยากรร่วมกันอย่างคุ้มค่า มีการพัฒนาอุตสาหกรรมอย่างเกื้อกูลร่วมกันของทุกภาคส่วนในพื้นที่ </t>
  </si>
  <si>
    <t>1. สร้างโอกาสในการแลกเปลี่ยนของเสียหรือพลังงานของโรงงานในพื้นที่เป้าหมาย 7 จังหวัด ให้สามารถใช้ทรัพยากรร่วมกันอย่างคุ้มค่า มีการพัฒนาอุตสาหกรรมอย่างเกื้อกูลร่วมกันของทุกภาคส่วนในพื้นที่</t>
  </si>
  <si>
    <t>2. มีการพัฒนาและยกระดับโรงงานในพื้นที่เป้าหมาย 7 จังหวัดให้ได้มาตรฐานตรงตามตัวชี้วัดเพื่อเตรียมการพัฒนาสู่การเป็นเมืองอุตสาหกรรมเชิงนิเวศระดับ 2 ในส่วนภาคอุตสาหกรรม และสามารถนำมาวางแผนวิเคราะห์ พัฒนาความเป็นเมืองอุตสาหกรรมเชิงนิเวศในระดับที่สูงขึ้นต่อไป ตามเป้าหมายการพัฒนาเมืองอุตสาหกรรมเชิงนิเวศ</t>
  </si>
  <si>
    <t>3. ภาคอุตสาหกรรมสามารถสร้างความเชื่อมั่นและไว้วางใจให้กับประชาชนในการบริหารจัดการภาคอุตสาหกรรมให้ประกอบกิจการโรงงาน โดยคำนึงถึงการรับผิดชอบต่อสังคม ชุมชน สิ่งแวดล้อม และมุ่งสู่การอยู่ร่วมกันอย่างยั่งยืนอย่างปกติสุขระหว่างชุมชน ลดการต่อต้านจากประชาชน</t>
  </si>
  <si>
    <t>(1) ค่าใช้จ่ายในการดำเนินการ</t>
  </si>
  <si>
    <t>(1.1.3) จัดประชุมคณะกรรมการชำนาญการพัฒนาเมืองอุตสาหกรรมเชิงนิเวศ เพื่อเสนอผลการดำเนินงานตามที่กำหนดในโครงการ จำนวน 1 ครั้ง ไม่น้อยกว่า 50 คน</t>
  </si>
  <si>
    <r>
      <t xml:space="preserve"> </t>
    </r>
    <r>
      <rPr>
        <b/>
        <sz val="14"/>
        <color rgb="FFFF0000"/>
        <rFont val="TH SarabunPSK"/>
        <family val="2"/>
      </rPr>
      <t>(ค่าใช้จ่ายดำเนินการจ้างผู้รับจ้าง)</t>
    </r>
  </si>
  <si>
    <t xml:space="preserve">(1.2.2) จัดเก็บข้อมูล ประมวลผล และวิเคราะห์ข้อมูล 18 พื้นที่ </t>
  </si>
  <si>
    <t>(1.2.3) จัดทำรายงานสรุปผลการวิเคราะห์และจัดทำรูปเล่มรายงานจำนวนไม่น้อยกว่า 1000 เล่ม</t>
  </si>
  <si>
    <t>ลงพื้นที่ตรวจเยี่ยมและแลกเปลี่ยนเรียนรู้ผลการดำเนินงานโครงการ จำนวน 1 ครั้ง/18 พื้นที่ๆ ละอย่างน้อย 3 วัน จำนวน 4 คน (ดำเนินการเอง)</t>
  </si>
  <si>
    <t>(1.1.2) จัดประชุมคณะทำงาน เพื่อติดตามประเมินผลตาม ผลผลิต ผลลัพธ์และตัวชี้วัดจำนวน 3 ครั้ง 10 คน</t>
  </si>
  <si>
    <t>(1.2.1) จัดทำผังกลไกการขับเคลื่อนและการติดตามประเมินผลแผนปฏิบัติการ การสำรวจ ติดตามและประเมินผล (จ้างดำเนินการ)</t>
  </si>
  <si>
    <t>(1.1.1) จัดประชุมเชิงปฏิบัติการเพื่อชี้แจงจำนวนอย่างน้อย 2 วัน 1 คืน ไม่น้อยกว่า 50 คน (กรมโรงงานอุตสาหกรรมดำเนินการเอง)</t>
  </si>
  <si>
    <t>3.5 โครงการพัฒนาศูนย์การเรียนรู้และการประเมินความเป็นเมืองอุตสาหกรรมเชิงนิเวศ ตามตัวขี้วัด 5 มิติ 20 ด้าน 15 จังหวัด</t>
  </si>
  <si>
    <t xml:space="preserve">3.6 โครงการส่งเสริมและยกระดับเครือข่ายอุตสาหกรรมเชิงนิเวศ 15 จังหวัด </t>
  </si>
  <si>
    <t>กิจกรรม : ส่งเสริมและยกระดับสถานประกอบธุรกิจอุตสาหกรรมให้มีศักยภาพในการแข่งขันสู่ Factory 4.0</t>
  </si>
  <si>
    <t>√</t>
  </si>
  <si>
    <t>1) เพื่อยกระดับการพัฒนาฐานข้อมูลและยกระดับศูนย์พัฒนาเมืองอุตสาหกรรมเชิงนิเวศ (Eco Industrial Town Center) ที่ศูนย์ประสานข้อมูลกลาง กรมโรงงานอุตสาหกรรม) และที่ศูนย์ประสานข้อมูลกลางการพัฒนาเมืองอุตสาหกรรมเชิงนิเวศ</t>
  </si>
  <si>
    <t xml:space="preserve">3) เพื่อสรุปและประเมินผลความเป็นเมืองอุตสาหกรรมเชิงนิเวศของ 19จังหวัด เพื่อนำข้อมูลปัญหาอุปสรรคมา ข้อเสนอแนะใช้ประโยชน์ต่อไป </t>
  </si>
  <si>
    <t>4) เพื่อสรุปและประเมินประสิทธิภาพและประสิทธิผลการดำเนินการตามแผนปฏิบัติการการพัฒนาอุตสาหกรรมเชิงนิเวศของ 19 จังหวัด ให้เอื้อประโยชน์ต่อการพัฒนาเมืองอุตสาหกรรมเชิงนิเวศ ที่มุ่งสู่การผ่านตัวชี้วัดความเป็นเมืองอุตสาหกรรมเชิงนิเวศในระดับที่ 3 ประสิทธิภาพในการใช้ทรัพยากร (Resource efficiency) ในปี พ.ศ. 2564 ของทุกพื้นที่</t>
  </si>
  <si>
    <t>5) เพื่อดำเนินการการพัฒนาเมืองอุตสาหกรรมเชิงนิเวศในพื้นที่ที่เหมาะสมพร้อมกับการป้องกันและพัฒนาส่งเสริมและสนับสนุนภาคส่วนที่เกี่ยวข้อง และผู้แทนเครือข่าย Eco Network</t>
  </si>
  <si>
    <t xml:space="preserve">(1.3) ค่าใช้จ่ายในการดำเนินการ </t>
  </si>
  <si>
    <t xml:space="preserve">     </t>
  </si>
  <si>
    <t>การดำเนินการพัฒนาอุตสาหกรรมอุตสาหกรรมเชิงนิเวศ 15 จังหวัด 18 พื้นที่ ได้รับการตรวจประเมินตามตัวชี้วัด 5 มิติ20 ด้าน 41 ตัวชี้วัดเป็น ระดับการพัฒนาอุตสาหกรรมผู้เข้ารับการอบรมมีความรู้ในการตรวจประเมินการเป็นเมืองอุตสาหกรรมเชิงนิเวศในพื้นที่เป้าหมาย 15 จังหวัด</t>
  </si>
  <si>
    <t>(1.3.5) ดำเนินการทวนสอบและประเมินผลระดับความเป็นเมืองอุตสาหกรรมเชิงนิเวศตามตัวชี้วัดความเป็นเมืองอุตสาหกรรมเชิงนิเวศในภาพรวมของ 15 จังหวัด 18 พื้นที่</t>
  </si>
  <si>
    <t>2) อุตสาหกรรมอยู่ร่วมกับชุมชนได้อย่างปกติสุขและยั่งยืน โดยมีการพัฒนาอย่างสมดุลทั้งด้านเศรษฐกิจ สังคม และสิ่งแวดล้อม</t>
  </si>
  <si>
    <t xml:space="preserve">1) จังหวัดเป้าหมายมีการพัฒนาสู่เมืองอุตสาหกรรมเชิงนิเวศ ที่สอดคล้องแผนแม่บทเมืองอุตสาหกรรมเชิงนิเวศ และเป็นไปอย่างมีประสิทธิภาพ
</t>
  </si>
  <si>
    <t xml:space="preserve">3) ทุกภาคส่วนในพื้นที่เป้าหมายมีส่วนร่วมในการพัฒนาเมืองอุตสาหกรรมเชิงนิเวศในพื้นที่
เพื่อเติบโตไปด้วยกันอย่างเชื่อมโยง เกื้อกูล และสมดุลร่วมกัน </t>
  </si>
  <si>
    <t>5 ปี</t>
  </si>
  <si>
    <t>2 ปี</t>
  </si>
  <si>
    <t xml:space="preserve"> - ค่าตอบแทนที่ปรึกษา(หัวหน้า/ผู้จัดการ)</t>
  </si>
  <si>
    <t xml:space="preserve"> - ค่าบริการวิชาการ</t>
  </si>
  <si>
    <t xml:space="preserve"> - ค่าตอบแทนผู้จัดการโครงการ </t>
  </si>
  <si>
    <t>วิศว/วิทยา</t>
  </si>
  <si>
    <t xml:space="preserve">1) เพื่อขับเคลื่อนโรงงานมุ่งสู่การเป็นอุตสาหกรรม     </t>
  </si>
  <si>
    <t xml:space="preserve"> - ค่าตอบแทนผู้ประสานงานโครงการ </t>
  </si>
  <si>
    <t>สีเขียว และมาตรฐานสากล</t>
  </si>
  <si>
    <t xml:space="preserve"> - ค่าตอบแทนผู้เชี่ยวชาญระบบการจัดการสิ่งแวดล้อม </t>
  </si>
  <si>
    <t>2) เพื่อให้ผู้ประกอบการสามารถปฏิบัติตามกฎหมาย</t>
  </si>
  <si>
    <t xml:space="preserve"> - ค่าตอบแทนผู้เชี่ยวชาญการจัดการมลพิษ </t>
  </si>
  <si>
    <t>ด้านสิ่งแวดล้อม ความปลอดภัย สารเคมีและวัตถุ</t>
  </si>
  <si>
    <t xml:space="preserve"> - ค่าตอบแทนผู้เชี่ยวชาญเทคโนโลยีการผลิตที่สะอาด </t>
  </si>
  <si>
    <t>อันตราย รวมถึงอาชีวอนามัยและความปลอดภัยในการทำงาน</t>
  </si>
  <si>
    <t xml:space="preserve"> - ค่าตอบแทนผู้เชี่ยวชาญพลังงาน</t>
  </si>
  <si>
    <t>3) เพื่อพัฒนาศักยภาพ ทักษะ ความสามารถและการ</t>
  </si>
  <si>
    <t xml:space="preserve"> - ค่าตอบแทนผู้เชี่ยวชาญด้านอุตสาหกรรมสีเขียว </t>
  </si>
  <si>
    <t xml:space="preserve"> สร้างจิตสำนึกต่อสิ่งแวดล้อมของพนักงาน</t>
  </si>
  <si>
    <t xml:space="preserve"> - ค่าตอบแทนผู้ดำเนินงานด้านมีส่วนร่วมของประชาชน </t>
  </si>
  <si>
    <t>4) ให้พนักงานและผู้ประกอบกิจการมีส่วนร่วม</t>
  </si>
  <si>
    <t xml:space="preserve"> - ค่าตอบแทนผู้เชี่ยวชาญด้านมาตรฐานการพัฒนา </t>
  </si>
  <si>
    <t>รักษาสิ่งแวดล้อม ทั้งยังเป็นการสร้างสภาพแวดล้อม</t>
  </si>
  <si>
    <t xml:space="preserve"> - ค่าตอบแทนวิศวกร </t>
  </si>
  <si>
    <t xml:space="preserve">และคุณภาพชีวิตที่ดีขึ้นของพนักงาน ประชาชน </t>
  </si>
  <si>
    <t xml:space="preserve"> - ค่าตอบแทนนักวิทยาศาสตร์ </t>
  </si>
  <si>
    <t>และชุมชนในบริเวณรอบข้าง</t>
  </si>
  <si>
    <t xml:space="preserve"> - ค่าตอบแทนผู้ตรวจประเมิน </t>
  </si>
  <si>
    <t xml:space="preserve">5) เพื่อช่วยลดปัญหามลพิษจากโรงงานอุตสาหกรรม </t>
  </si>
  <si>
    <t xml:space="preserve"> - ค่าตอบแทนนักพัฒนาโปรแกรม </t>
  </si>
  <si>
    <t>และผลกระทบต่อสิ่งแวดล้อมในพื้นที่ลุ่มน้ำหลักของประเทศ</t>
  </si>
  <si>
    <t>6) ลดปริมาณก๊าซเรือนกระจก</t>
  </si>
  <si>
    <t xml:space="preserve"> - ค่าตอบแทนเจ้าหน้าที่ธุรการ/ประมวลผลข้อมูล ป.ตรี ประสบการณ์ 3 ปี</t>
  </si>
  <si>
    <t>(1.3.1)การศึกษาศักยภาพในการลดปริมาณน้ำในโรงงานอุตสาหกรรม จำนวน 20 โรงงาน</t>
  </si>
  <si>
    <t>โรงงานอุตสาหกรรมที่เข้าร่วมโครงการ ได้รับ</t>
  </si>
  <si>
    <t>1) ประชุมโรงงาน รวมเอกสาร (100 ชุด x 700 บาท)</t>
  </si>
  <si>
    <t xml:space="preserve"> การถ่ายทอดความรู้ จำนวน 1,000 ราย และนำ</t>
  </si>
  <si>
    <t>2) ค่าเบี้ยเลี้ยง (3 คน x150 วันx 240 บาท )</t>
  </si>
  <si>
    <t xml:space="preserve">  เทคโนโลยีไปปฏิบัติจริงในโรงงาน สามารถลด</t>
  </si>
  <si>
    <t>3) ค่าที่พัก(ตจว.) (3 คนx 150วันx 1,200 บาท ) โดยผู้เชี่ยวชาญและทีมงาน</t>
  </si>
  <si>
    <t xml:space="preserve"> ต้นทุนการผลิตและลดปัญหาสิ่งแวดล้อม ปฏิบัติ</t>
  </si>
  <si>
    <t>4) ค่าพาหนะใช้สำรวจข้อมูล(รถตู้ + ค่าน้ำมัน 1 คัน* 150 วัน*2500 บาท)</t>
  </si>
  <si>
    <t>ตามข้อกฎหมายต่างๆ ที่เกี่ยวข้อง พนักงาน</t>
  </si>
  <si>
    <t xml:space="preserve">5) ค่าจัดทำฐานข้อมูลน้ำใช้อุตสาหกรรม 38 ประเภท </t>
  </si>
  <si>
    <t>มีศักยภาพเพิ่มขึ้นและมีสภาวะแวดล้อมที่</t>
  </si>
  <si>
    <t xml:space="preserve">6) รายงานเสนอคณะกรรมการประสานรับมอบงาน ( 1 ฉบับ*10 เล่ม *10ครั้ง *200บาท) </t>
  </si>
  <si>
    <t>ปลอดภัยในการทำงาน รวมถึงได้รับการ</t>
  </si>
  <si>
    <t>7) รายงานฉบับเบื้องต้น (1 ฉบับ 10 เล่ม * 300 บาท)</t>
  </si>
  <si>
    <t xml:space="preserve">ยกระดับการรับรองอุตสาหกรรมสีเขียว </t>
  </si>
  <si>
    <t>8) รายงานความก้าวหน้า ( 2 ฉบับ *10 เล่ม*500 บาท)</t>
  </si>
  <si>
    <t xml:space="preserve">ระดับที่ 2 - ระดับ 5 ไม่น้อยกว่า 450 ราย  </t>
  </si>
  <si>
    <t>9) รายงานฉบับสมบูรณ์ และรายงานสรุปผู้บริหาร(อย่างละ 2 ฉบับ * 10 เล่ม *1,500 บาท)</t>
  </si>
  <si>
    <t>10) ค่าใช้จ่ายสำนักงาน</t>
  </si>
  <si>
    <t xml:space="preserve"> - ค่าสำนักงานและสาธารณูปโภค </t>
  </si>
  <si>
    <t>(1.3.2) การถ่ายทอดเทคโนโลยีการผลิตที่สะอาดระดับรายสาขา จำนวน 20 โรงงาน</t>
  </si>
  <si>
    <t>(1.3.2.1) กิจกรรมเผยแพร่โครงการ เพื่อเชิญชวนโรงงานเข้าร่วมโครงการ</t>
  </si>
  <si>
    <t xml:space="preserve">1.1) ค่าเอกสารเชิญชวนโรงงานเข้าร่วมโครงการผ่านสื่อสิ่งพิมพ์ </t>
  </si>
  <si>
    <t>1.2) ค่าจัดทำเอกสารเชิญชวนโรงงานเข้าร่วมโครงการ(500 ชุด x50 บาท)</t>
  </si>
  <si>
    <t>1.3) ค่าจัดส่งเอกสารเชิญชวนโรงงานเข้าร่วมโครงการ(500 ชุด x10 บาท)</t>
  </si>
  <si>
    <t>(1.3.2.2) ค่าใช้จ่ายในการสำรวจโรงงาน 30 โรงงานๆ ละ 1 วัน โดยผู้เชี่ยวชาญและทีมงาน</t>
  </si>
  <si>
    <t>1) ค่าเบี้ยเลี้ยง (3 คนx20 โรง x 1 วัน x 240 บาท)</t>
  </si>
  <si>
    <t>คน-โรง-วัน</t>
  </si>
  <si>
    <t>2) ค่าที่พักผู้เชี่ยวชาญ และทีมงาน (ตจว.) (3 คนx20 โรงx1วันx1,200 บาท)</t>
  </si>
  <si>
    <t>3) ค่าพาหนะ(รถตู้ + ค่าน้ำมัน) (1 คันx20 โรงx 1วันx2,500 บาท)</t>
  </si>
  <si>
    <t>คัน-โรง-วัน</t>
  </si>
  <si>
    <t>(1.3.2.3) ค่าใช้จ่ายในการตรวจประเมินโรงงานและคัดเลือก CT Option</t>
  </si>
  <si>
    <t>1) ค่าตรวจวัดด้านพลังงานก่อน-หลังปรับปรุง (20 โรงงาน x30000 บาท)</t>
  </si>
  <si>
    <t>2) ค่าตรวจวัดด้านคุณภาพน้ำ( 20 โรงงานx2 ตัวอย่างx 1,200 บาท  )</t>
  </si>
  <si>
    <t>โรง-ตัวอย่าง</t>
  </si>
  <si>
    <t>3) ค่าตรวจวัดด้านคุณภาพอากาศ( 20 โรงงานx2 ตัวอย่างx 1,200 บาท  )</t>
  </si>
  <si>
    <t>4) ค่าเอกสาร Inhouse Training ( 20 โรงงานx10 ชุด x 70 บาท  )</t>
  </si>
  <si>
    <t>โรง-ชุด</t>
  </si>
  <si>
    <t>5) ค่าเบี้ยเลี้ยง (3 คน x 20 วัน x 240 บาท)</t>
  </si>
  <si>
    <t>6) ค่าที่พักผู้เชี่ยวชาญและทีมงาน (ตจว.) (3 คนx20วันx1,200 บาท)</t>
  </si>
  <si>
    <t>7) ค่าพาหนะ(รถตู้ + ค่าน้ำมัน) (1 คัน x20 วัน x 2,500 บาท)</t>
  </si>
  <si>
    <t>(1.3.2.4) ค่าใช้จ่ายในการปรับปรุงและประเมินผลการนำ CT Option ไปใช้โรงงาน</t>
  </si>
  <si>
    <t>1) ค่าตรวจวัดด้านคุณภาพน้ำ( 20 โรงงานx2 ตัวอย่างx 1,200 บาท  )</t>
  </si>
  <si>
    <t>2) ค่าตรวจวัดด้านคุณภาพอากาศ( 20 โรงงานx2 ตัวอย่างx 1,200 บาท  )</t>
  </si>
  <si>
    <t>3) ค่าเบี้ยเลี้ยง (3 คน x 20 วัน x 240 บาท)</t>
  </si>
  <si>
    <t>4) ค่าที่พักผู้เชี่ยวชาญและทีมงาน (ตจว.) (3 คนx20วันx1,200 บาท)</t>
  </si>
  <si>
    <t>5) ค่าพาหนะ(รถตู้ + ค่าน้ำมัน) (1 คัน x20 วัน x 2,500 บาท)</t>
  </si>
  <si>
    <t xml:space="preserve">(1.3.2.5) เผยแพร่ผลสำเร็จการดำเนินงาน </t>
  </si>
  <si>
    <t>1) ค่าจัดทำเอกสาร (100 ชุด x 70 บาท)</t>
  </si>
  <si>
    <t xml:space="preserve">2) ค่าอาหารและเครื่องดื่ม (100 คน x 600 บาท) </t>
  </si>
  <si>
    <t>3) ค่าวิทยากร ( 1 คนx7 ชั่วโมงx 1 วัน x 1,200 บาท  )</t>
  </si>
  <si>
    <t>4) ค่าเบี้ยเลี้ยง (4 คน x 1 วัน x 240 บาท)</t>
  </si>
  <si>
    <t>5) ค่าที่พักวิทยากร และทีมงาน (ตจว.) (5 คนx1วันx1,200 บาท)</t>
  </si>
  <si>
    <t>6) ค่าพาหนะ(รถตู้ + ค่าน้ำมัน) (1 คัน x1 วัน x 2,500 บาท)</t>
  </si>
  <si>
    <t>(1.3.2.6) ค่าจัดอบรมพัฒนาความรู้เทคโนโลยีการผลิตที่สะอาด</t>
  </si>
  <si>
    <t>1) ค่าจัดทำคู่มือการป้องกันมลพิษระดับรายสาขา(1 ฉบับ x500 เล่มx 500 บาท)</t>
  </si>
  <si>
    <t>2) ค่าจัดทำเอกสาร (100 ชุด x 70 บาท)</t>
  </si>
  <si>
    <t xml:space="preserve">3) ค่าอาหารและเครื่องดื่ม (100 คน x 600 บาท) </t>
  </si>
  <si>
    <t>4) ค่าวิทยากร ( 1 คนx7 ชั่วโมงx 1 วัน x 1,200 บาท  )</t>
  </si>
  <si>
    <t>5) ค่าเบี้ยเลี้ยง (4 คน x 1 วัน x 240 บาท)</t>
  </si>
  <si>
    <t>6) ค่าที่พักวิทยากร และทีมงาน (ตจว.) (5 คนx1วันx1,200 บาท)</t>
  </si>
  <si>
    <t>7) ค่าพาหนะ(รถตู้ + ค่าน้ำมัน) (1 คัน x1 วัน x 2,500 บาท)</t>
  </si>
  <si>
    <t>(1.3.2.7) ค่าใช้จ่ายในการจัดทำรายงาน</t>
  </si>
  <si>
    <t xml:space="preserve">1) รายงานเสนอคณะกรรมการประสานรับมอบงาน ( 1 ฉบับ*10 เล่ม *10ครั้ง *100บาท) </t>
  </si>
  <si>
    <t>2) รายงานฉบับเบื้องต้น (1 ฉบับ 10 เล่ม x 500 บาท)</t>
  </si>
  <si>
    <t>3) รายงานความก้าวหน้า ( 2 ฉบับ x10 เล่มx600 บาท)</t>
  </si>
  <si>
    <t>4) รายงานฉบับสมบูรณ์ และรายงานสรุปผู้บริหาร(อย่างละ 2 ฉบับ x 10 เล่ม x1,500 บาท)</t>
  </si>
  <si>
    <t>(1.3.2.8) ค่าใช้จ่ายสำนักงาน</t>
  </si>
  <si>
    <t xml:space="preserve"> - ค่าติดต่อสื่อสาร/ค่าเครื่องเขียนแบบพิมพ์</t>
  </si>
  <si>
    <t xml:space="preserve"> - ค่าใช้จ่ายเบ็ดเตล็ดอื่นๆ เช่น ค่าติดต่อประสานงาน </t>
  </si>
  <si>
    <t>(1.3.3)การเพิ่มศักยภาพการผลิตของโรงงานอุตสาหกรรมด้วยระบบการจัดการสิ่งแวดล้อมในพื้นที่ลุ่มน้ำสายหลัก จำนวน 30 โรงงาน</t>
  </si>
  <si>
    <t>(1.3.3.1) จัดประชุมรณรงค์ภาคอุตสาหกรรมรักษาสิ่งแวดล้อม และเชิญชวนเข้าร่วมโครงการ  1 วัน</t>
  </si>
  <si>
    <t>1) ค่าจัดทำเอกสาร (100 ชุดx1ครั้ง x 70 บาท)</t>
  </si>
  <si>
    <t xml:space="preserve">2) ค่าอาหารและเครื่องดื่ม (100 คนx1ครั้ง x 600 บาท) </t>
  </si>
  <si>
    <t>3) ค่าวิทยากร ( 1 คนx7 ชั่วโมงx1 วัน x 1,200 บาท  )</t>
  </si>
  <si>
    <t>4) ค่าเบี้ยเลี้ยงทีมงาน (4 คน x1 วัน x 240 บาท)</t>
  </si>
  <si>
    <t>(1.3.3.2)จัดให้ความรู้เชิงปฏิบัติการให้พนักงานโรงงานละ 2 คน เพื่อเป็นพี่เลี้ยงไปถ่ายทอดในโรงงาน 30 โรงงานๆ ละ 3 วัน</t>
  </si>
  <si>
    <t>1) ค่าจัดทำเอกสาร (60 ชุดx1ครั้งx3วัน x 70 บาท)</t>
  </si>
  <si>
    <t>ชุด-ครั้ง-วัน</t>
  </si>
  <si>
    <t xml:space="preserve">2) ค่าอาหารและเครื่องดื่ม (60 คนx1ครั้งx3วัน x 600 บาท) </t>
  </si>
  <si>
    <t>คน-ครั้ง-วัน</t>
  </si>
  <si>
    <t>3) ค่าวิทยากร ( 1 คนx7 ชั่วโมx1 ครั้งx3วัน x 1,200 บาท  )</t>
  </si>
  <si>
    <t>4) ค่าเบี้ยเลี้ยงทีมงาน (4 คนx1 ครั้ง x3 วัน x 240 บาท)</t>
  </si>
  <si>
    <t>5) ค่าที่พักวิทยากร และทีมงาน (ตจว.) (5 คนx1 ครั้งx3วันx1,200 บาท)</t>
  </si>
  <si>
    <t>7) ค่าพาหนะ(รถตู้ + ค่าน้ำมัน) (1 คันx1 ครั้ง x3 วัน x 2,500 บาท)</t>
  </si>
  <si>
    <t xml:space="preserve">(1.3.3.3) วางระบบการจัดการสิ่งแวดล้อมในโรงงานร่วมกับพนักงานเพื่อปรับปรุงแก้ไขกระบวนการผลิตให้ถูกต้องตามกฎหมาย ลดปัญหาสิ่งแวดล้อม ลดต้นทุนการผลิต 30 โรงๆ ละ 3 วัน </t>
  </si>
  <si>
    <t>1) ค่าจัดทำเอกสาร (30 โรงx5 ชุดx3วัน x 70 บาท)</t>
  </si>
  <si>
    <t xml:space="preserve">2) วิเคราะห์น้ำระบบบำบัด(In-eff) ก่อน-หลังการปรับปรุงรวม 16 ตัวอย่างๆ/โรง30 โรง (pH BOD COD SS O&amp;G หรือโลหะหนัก) </t>
  </si>
  <si>
    <t>ตัวอย่าง</t>
  </si>
  <si>
    <t>3) ค่าเบี้ยเลี้ยงทีมงาน (2 คนx 30โรง x5  วัน x 240 บาท)</t>
  </si>
  <si>
    <t>4) ค่าที่พักผู้เชี่ยวชาญและทีมงาน (ตจว.) (5 คนx 30โรงx5วันx1,200 บาท)</t>
  </si>
  <si>
    <t>5) ค่าพาหนะ(รถตู้ + ค่าน้ำมัน) (1 คันx 30โรง x5 วัน x 2,500 บาท)</t>
  </si>
  <si>
    <t xml:space="preserve">(1.3.3.4)  ปรับปรุงแก้ไขกระบวนการผลิตให้ถูกต้องตามกฎหมาย ลดปัญหาสิ่งแวดล้อม ลดต้นทุนการผลิต และตรวจประเมินระบบการจัดการสิ่งแวดล้อม 30 โรงๆ ละ 4 วัน </t>
  </si>
  <si>
    <t>1) ค่าจัดทำเอกสาร (30 โรงx4 ชุดx4วัน x 70 บาท)</t>
  </si>
  <si>
    <t>2) ค่าเบี้ยเลี้ยงทีมงาน (3 คนx 30โรง x6  วัน x 240 บาท)</t>
  </si>
  <si>
    <t>3) ค่าที่พักผู้เชี่ยวชาญและทีมงาน (ตจว.) (4 คนx 30โรงx6วันx1,200 บาท)</t>
  </si>
  <si>
    <t>4) ค่าพาหนะ(รถตู้ + ค่าน้ำมัน) (1 คันx 30โรง x6 วัน x 2,500 บาท)</t>
  </si>
  <si>
    <t xml:space="preserve">(1.3.3.5) จัดทำคู่มือการจัดการสิ่งแวดล้อม 1 รายสาขา และตราสัญลักษณ์การรับรองระบบการจัดการสิ่งแวดล้อม   </t>
  </si>
  <si>
    <t>1) ค่าจัดทำคู่มือการจัดการสิ่งแวดล้อม (1 ฉบับ x500 เล่มx 500 บาท)</t>
  </si>
  <si>
    <t>2) ค่าจัดทำตราสัญลักษณ์การรับรองระบบการจัดการสิ่งแวดล้อม(30 ชุดx 2000 บาท)</t>
  </si>
  <si>
    <t xml:space="preserve">(1.3.3.6) เผยแพร่ผลสำเร็จการดำเนินงาน และกรณีตัวอย่างเพื่อให้โรงงานนำไปปฏิบัติใช้  1 วัน </t>
  </si>
  <si>
    <t>1) ค่าจัดทำเอกสาร (100 ชุดx1ครั้ง x 200 บาท)</t>
  </si>
  <si>
    <t>(1.3.3.7) ค่าใช้จ่ายในการจัดทำรายงาน</t>
  </si>
  <si>
    <t xml:space="preserve">1) รายงานเสนอคณะกรรมการประสานรับมอบงาน ( 1 ฉบับx10 เล่ม x10ครั้ง x200บาท) </t>
  </si>
  <si>
    <t>2) รายงานฉบับเบื้องต้น (1 ฉบับx 20 เล่ม x500 บาท)</t>
  </si>
  <si>
    <t>3) รายงานความก้าวหน้า ( 1 ฉบับ x20 เล่มx600 บาท)</t>
  </si>
  <si>
    <t>4) รายงานฉบับสมบูรณ์ และรายงานสรุปผู้บริหาร(อย่างละ 2 ฉบับ x 20 เล่ม x1,500 บาท)</t>
  </si>
  <si>
    <t>(1.3.3.8) ค่าใช้จ่ายสำนักงาน</t>
  </si>
  <si>
    <t xml:space="preserve"> 1) ค่าสำนักงานและสาธารณูปโภค </t>
  </si>
  <si>
    <t xml:space="preserve"> 2) ค่าติดต่อสื่อสาร/ค่าเครื่องเขียนแบบพิมพ์</t>
  </si>
  <si>
    <t xml:space="preserve"> 3) ค่าใช้จ่ายเบ็ดเตล็ดอื่นๆ เช่น ค่าติดต่อประสานงาน </t>
  </si>
  <si>
    <t>(1.3.4)การพัฒนาระบบการจัดการสิ่งแวดล้อมสำหรับประเภทอุตสาหกรรมที่มีมลพิษสูง (ชุบโลหะ) จำนวน ๓๐ โรงงาน</t>
  </si>
  <si>
    <t>(1.3.4.1) จัดประชุมรณรงค์ภาคอุตสาหกรรมรักษาสิ่งแวดล้อม และเชิญชวนเข้าร่วมโครงการ  1 วัน</t>
  </si>
  <si>
    <t>4) ค่าพาหนะ(รถตู้ + ค่าน้ำมัน) (1 คัน x1 วัน x 2,500 บาท)</t>
  </si>
  <si>
    <t>(1.3.4.2) จัดให้ความรู้เชิงปฏิบัติการให้พนักงานโรงงานละ 2 คน เพื่อเป็นพี่เลี้ยงไปถ่ายทอดในโรงงาน 30 โรงงานๆ ละ 3 วัน</t>
  </si>
  <si>
    <t>4) ค่าพาหนะ(รถตู้ + ค่าน้ำมัน) (1 คันx1 ครั้ง x3 วัน x 2,500 บาท)</t>
  </si>
  <si>
    <t xml:space="preserve">(1.3.4.3) วางระบบการจัดการสิ่งแวดล้อมในโรงงานร่วมกับพนักงานเพื่อปรับปรุงแก้ไขกระบวนการผลิตให้ถูกต้องตามกฎหมาย ลดปัญหาสิ่งแวดล้อม ลดต้นทุนการผลิต 30 โรงๆ ละ 3 วัน </t>
  </si>
  <si>
    <t xml:space="preserve">2) วิเคราะห์น้ำระบบบำบัด(In-Eff) ก่อน-หลังการปรับปรุงรวม 16 ตัวอย่างๆ/30 โรง (pH CU Ni Zn Cr Pb หรือโลหะหนักอื่น) </t>
  </si>
  <si>
    <t>3) ค่าพาหนะ(รถตู้ + ค่าน้ำมัน) (1 คันx 30โรง x3 วัน x 2,500 บาท)</t>
  </si>
  <si>
    <t xml:space="preserve">(1.3.4.4)  ปรับปรุงแก้ไขกระบวนการผลิตให้ถูกต้องตามกฎหมาย ลดปัญหาสิ่งแวดล้อม ลดต้นทุนการผลิต และตรวจประเมินระบบการจัดการสิ่งแวดล้อม 30 โรงๆ ละ 3 วัน </t>
  </si>
  <si>
    <t>2) ค่าพาหนะ(รถตู้ + ค่าน้ำมัน) (1 คันx 30โรง x3 วัน x 2,500 บาท)</t>
  </si>
  <si>
    <t xml:space="preserve">(1.3.4.5) จัดทำคู่มือการจัดการสิ่งแวดล้อม และตราสัญลักษณ์การรับรองระบบการจัดการสิ่งแวดล้อม   </t>
  </si>
  <si>
    <t xml:space="preserve">(1.3.4.6) เผยแพร่ผลสำเร็จการดำเนินงาน และกรณีตัวอย่างเพื่อให้โรงงานนำไปปฏิบัติใช้  1 วัน </t>
  </si>
  <si>
    <t>(1.3.4.7) ค่าใช้จ่ายในการจัดทำรายงาน</t>
  </si>
  <si>
    <t>(1.3.4.8) ค่าใช้จ่ายสำนักงาน</t>
  </si>
  <si>
    <t>(1.3.5) ส่งเสริมและพัฒนาสถานประกอบการสู่อุตสาหกรรมสีเขียว (Green Industry) จำนวน 1000 ราย</t>
  </si>
  <si>
    <t xml:space="preserve">(1.3.5.1) ถ่ายทอดความรู้อุตสาหกรรมสีเขียว และสร้างความเข้าใจให้กลุ่มเป้าหมาย </t>
  </si>
  <si>
    <t xml:space="preserve">1) จัดทำคู่มืออุตสาหกรรมสีเขียว (2500 เล่ม x 200 บาท) </t>
  </si>
  <si>
    <t xml:space="preserve">2) ประชาสัมพันธ์เผยแพร่ทางสื่อโฆษณา Out of Home Media (OHM) (60 วัน x5000บาท) </t>
  </si>
  <si>
    <t>3) จัดทำจุลสาร Green Industry  (1,000 เล่ม x 100 บาท)</t>
  </si>
  <si>
    <t>4) เผยแพร่ทางสื่อวิทยุ 30 วินาที (60 ครั้ง x8,000 บาท)</t>
  </si>
  <si>
    <t>5) จัดทำสื่อวีดีทัศน์ 15 นาที</t>
  </si>
  <si>
    <t>6) จัดทำอุปกรณ์แสดงภาพแบบม้วนเก็บ (6ชุด x5000 บาท)</t>
  </si>
  <si>
    <t xml:space="preserve">(1.3.5.2) จัดเสวนา ให้ความรู้และรับสมัครโรงงาน จำนวน 200 ราย จำนวน 5 ครั้ง </t>
  </si>
  <si>
    <t>1) ค่าจัดทำเอกสาร (200 ชุดx5ครั้ง x 70 บาท)</t>
  </si>
  <si>
    <t xml:space="preserve">2) ค่าอาหารและเครื่องดื่ม (200 คนx5ครั้ง x 600 บาท) </t>
  </si>
  <si>
    <t>3) ค่าวิทยากร ( 1 คนx7 ชั่วโมงx5 วัน x 1,200 บาท  )</t>
  </si>
  <si>
    <t>4) ค่าเบี้ยเลี้ยงทีมงาน (4 คน x5 วัน x 240 บาท)</t>
  </si>
  <si>
    <t>5) ค่าที่พักวิทยากร และทีมงาน (ตจว.) (5 คนx5วันx1,200 บาท)</t>
  </si>
  <si>
    <t>6) ค่าพาหนะ(รถตู้ + ค่าน้ำมัน) (1 คัน x5 วัน x 2,500 บาท)</t>
  </si>
  <si>
    <t>(1.3.5.3) จัดบูธเพื่อให้สถานประกอบการได้จำหน่ายสินค้าภายใต้อุตสาหกรรมสีเขียวและบริการที่เป็นมิตรต่อสิ่งแวดล้อม</t>
  </si>
  <si>
    <t xml:space="preserve"> - ค่าจัดบูธ (3 ครั้ง x 35000 บาท)</t>
  </si>
  <si>
    <t>(1.3.5.4) ค่าใช้จ่ายงานรับรางวัลอุตสาหกรรมสีเขียว</t>
  </si>
  <si>
    <t>1) ค่าจัดทำโล่ห์ (500  ชุดx 2,500 บาท)</t>
  </si>
  <si>
    <t>2) ค่าจัดทำเอกสาร (500 ชุดx 70 บาท)</t>
  </si>
  <si>
    <t xml:space="preserve">3) ค่าอาหารและเครื่องดื่ม (500 คนx 600 บาท) </t>
  </si>
  <si>
    <t>4) ค่าวิทยากร ( 1 คนx7 ชั่วโมงx1 วัน x 1,200 บาท  )</t>
  </si>
  <si>
    <t>5) ค่าเบี้ยเลี้ยงทีมงาน (4 คน x1 วัน x 240 บาท)</t>
  </si>
  <si>
    <t>(1.3.5.5) ค่าใช้จ่ายในการจัดทำโปรแกรมเพื่อพัฒนาฐานข้อมูลอุตสาหกรรมสีเขียว</t>
  </si>
  <si>
    <t>ค่าจัดทำโปรแกรมเพื่อพัฒนาฐานข้อมูลอุตสาหกรรมสีเขียว</t>
  </si>
  <si>
    <t>(1.3.5.6) ค่าใช้จ่ายในการจัดทำรายงาน</t>
  </si>
  <si>
    <t>(1.3.5.7) ค่าใช้จ่ายสำนักงาน</t>
  </si>
  <si>
    <t xml:space="preserve">1) ค่าสำนักงานและสาธารณูปโภค </t>
  </si>
  <si>
    <t>2) ค่าติดต่อสื่อสาร/ค่าเครื่องเขียนแบบพิมพ์</t>
  </si>
  <si>
    <t xml:space="preserve">3) ค่าใช้จ่ายเบ็ดเตล็ดอื่นๆ เช่น ค่าติดต่อประสานงาน </t>
  </si>
  <si>
    <t xml:space="preserve">(1.3.6) ให้คำแนะนำเชิงลึกแก่สถานประกอบการเพื่อมุ่งสู่การเป็นอุตสาหกรรมสีเขียว จำนวน 700 ราย </t>
  </si>
  <si>
    <t>(1.3.6.1) ถ่ายทอดความรู้เกี่ยวกับสิ่งแวดล้อม อุตสาหกรรมสีเขียว และการลดต้นทุนการผลิต</t>
  </si>
  <si>
    <t>1) ค่าจัดทำเอกสาร (200 ชุดx4 วันx 70 บาท )</t>
  </si>
  <si>
    <t>ชุด-วัน</t>
  </si>
  <si>
    <t xml:space="preserve">2) ค่าอาหารและเครื่องดื่ม  (200 คนx 4วัน x 600 บาท ) </t>
  </si>
  <si>
    <t xml:space="preserve"> 3) ค่าวิทยากร  (1 คน x7 ชั่วโมง x4 วัน x 1,200 บาท )</t>
  </si>
  <si>
    <t>4) ค่าที่พักวิทยากร และทีมงาน (ตจว.) ( 5 คนx 4วันx 1,200 บาท )</t>
  </si>
  <si>
    <t>5) ค่าเบี้ยเลี้ยงทีมงาน (4 คน x 4 วัน x 240 บาท)</t>
  </si>
  <si>
    <t>6) ค่าพาหนะ(รถตู้ + ค่าน้ำมัน) (4 วัน x2,500 บาท )</t>
  </si>
  <si>
    <t>(1.3.6.2) การถ่ายทอด และให้คำแนะนำเชิงลึกที่โรงงานเพื่อมุ่งสู่การเป็นอุตสาหกรรมสีเขียว 2 วัน</t>
  </si>
  <si>
    <t>1) ค่าจัดทำเอกสาร (700 ชุดx 70 บาท x2 วัน)</t>
  </si>
  <si>
    <t>2) ค่าพาหนะวิทยากรและทีมงาน (700 ราย (วันๆละ2 ราย)  xรถตู้ 1 คัน  x 2 ครั้ง x 2,500 บาท )</t>
  </si>
  <si>
    <t>วัน-2 ครั้ง</t>
  </si>
  <si>
    <t>3) ค่าเบี้ยเลี้ยงทีมงาน (3 คน x2 ครั้งx700โรงงานx 240 บาท)</t>
  </si>
  <si>
    <t>4) ค่าที่พักวิทยากร และทีมงาน (3 คน x2 ครั้งx700โรงงานx1200 บาท )</t>
  </si>
  <si>
    <t>คน-ครั้ง-ราย</t>
  </si>
  <si>
    <t>(1.3.6.3) ค่าใช้จ่ายในการจัดทำเอกสารและรายงาน</t>
  </si>
  <si>
    <t xml:space="preserve">1) รายงานเสนอคณะกรรมการประสานรับมอบงาน ( 2 ฉบับ*10 เล่ม *10ครั้ง *200บาท) </t>
  </si>
  <si>
    <t>2) รายงานฉบับเบื้องต้น (2 ฉบับ 20 เล่ม * 500 บาท)</t>
  </si>
  <si>
    <t>3) รายงานความก้าวหน้า (2 ฉบับ *20 เล่ม*600 บาท)</t>
  </si>
  <si>
    <t>4) รายงานฉบับสมบูรณ์ และรายงานสรุปผู้บริหาร(อย่างละ 2 ฉบับ * 20 เล่ม *1,500 บาท)</t>
  </si>
  <si>
    <t>(1.3.6.4) ค่าใช้จ่ายสำนักงาน</t>
  </si>
  <si>
    <t>(1.3.7) ตรวจประเมินสถานประกอบการที่ขอเทียบระดับหรือเลื่อนระดับสู่อุตสาหกรรมสีเขียว 200 ราย</t>
  </si>
  <si>
    <t xml:space="preserve"> (1.3.7.1) ตรวจประเมินสถานประกอบการที่ขอเทียบระดับหรือเลื่อนระดับสู่อุตสาหกรรมสีเขียว</t>
  </si>
  <si>
    <t>1) ค่าจัดทำเอกสาร (200 ชุดx 70 บาท)</t>
  </si>
  <si>
    <t>2) ค่าพาหะเดินทาง (ตจว.) (รถตู้ 1 คัน x 200วันx 1,200 บาท)</t>
  </si>
  <si>
    <t>3) ค่าพาหะเดินทาง (ตจว.) เครื่องบิน 20 เที่ยวx 4 คนx5,000 บาท)</t>
  </si>
  <si>
    <t>เที่ยว-คน</t>
  </si>
  <si>
    <t>4) ค่าเบี้ยเลี้ยงทีมงาน (4 คนx 200 วัน x 240 บาท )</t>
  </si>
  <si>
    <t>5) ค่าที่พักผู้เชี่ยวชาญ และทีมงาน (ตจว.) (4 คนx200วันx1,200 บาท)</t>
  </si>
  <si>
    <t>(1.3.7.2) ค่าใช้จ่ายในการจัดทำเอกสารและรายงาน</t>
  </si>
  <si>
    <t xml:space="preserve">1) รายงานเสนอคณะกรรมการประสานรับมอบงาน (1 ฉบับ*10 เล่ม *10ครั้ง *200บาท) </t>
  </si>
  <si>
    <t>2) รายงานฉบับเบื้องต้น 1 ฉบับ 20 เล่ม * 500 บาท)</t>
  </si>
  <si>
    <t>3) รายงานความก้าวหน้า ( 2 ฉบับ *20 เล่ม*600 บาท)</t>
  </si>
  <si>
    <t>4) รายงานฉบับสมบูรณ์ และรายงานสรุปผู้บริหาร(อย่างละ 1 ฉบับ * 20 เล่ม *2,000 บาท)</t>
  </si>
  <si>
    <t>(1.3.7.3) ค่าใช้จ่ายสำนักงาน</t>
  </si>
  <si>
    <t xml:space="preserve"> - ค่าตอบแทนที่ปรึกษา(ด้านเทคโนโลยีชีวภาพ๗</t>
  </si>
  <si>
    <t xml:space="preserve"> - ค่าตอบแทนที่ปรึกษา(ด้านความปลอดภัยอุตสาหกรรม)</t>
  </si>
  <si>
    <t xml:space="preserve">             ค่าตอบแทนที่ปรึกษา(ด้านบริหารความปลอดภัย)</t>
  </si>
  <si>
    <t xml:space="preserve">             ค่าตอบแทนที่ปรึกษา(ด้านอัคคีภัย)</t>
  </si>
  <si>
    <t xml:space="preserve">             ค่าตอบแทนที่ปรึกษา(ด้านสารเคมี)</t>
  </si>
  <si>
    <t xml:space="preserve">             ค่าตอบแทนที่ปรึกษา(ด้านไฟฟ้า)</t>
  </si>
  <si>
    <t xml:space="preserve">             ค่าตอบแทนที่ปรึกษา(ด้านระบบฐานข้อมูล)</t>
  </si>
  <si>
    <t xml:space="preserve">             ค่าตอบแทนที่ปรึกษา(ด้านระบบมาตรฐานบริหารการจัดการ)</t>
  </si>
  <si>
    <t xml:space="preserve">             ค่าตอบแทนที่ปรึกษา(ด้านเครื่องกล)</t>
  </si>
  <si>
    <t xml:space="preserve"> - ค่าตอบแทนที่ปรึกษา(ด้านภาชนะรับแรงดัน)</t>
  </si>
  <si>
    <t xml:space="preserve"> - ค่าตอบแทนที่ปรึกษา(ด้านวัสดุ)</t>
  </si>
  <si>
    <t xml:space="preserve"> - ค่าตอบแทนที่ปรึกษา(ด้านระบบทำความเย็น)</t>
  </si>
  <si>
    <t xml:space="preserve"> - ค่าตอบแทนที่ปรึกษา(ด้านอุบัติภัยและอัคคีภัย)</t>
  </si>
  <si>
    <t xml:space="preserve"> - ค่าตอบแทนที่ปรึกษา(ด้านสภาวะการทำงาน)</t>
  </si>
  <si>
    <t xml:space="preserve"> - ค่าตอบแทนที่ปรึกษา(ด้านการประเมินและรับรองระบบ)</t>
  </si>
  <si>
    <t xml:space="preserve">   โปรแกรมเมอร์</t>
  </si>
  <si>
    <t xml:space="preserve">   นักพัฒนาสื่อออนไลน์</t>
  </si>
  <si>
    <t xml:space="preserve">   วิทยากรที่ปรึกษาอบรมมาตรฐานความปลอดภัยเบื้องต้น</t>
  </si>
  <si>
    <t>80 man-day</t>
  </si>
  <si>
    <t xml:space="preserve">   ผู้ประเมิน Verification</t>
  </si>
  <si>
    <t xml:space="preserve">   นักวิทยาศาสตร์</t>
  </si>
  <si>
    <t xml:space="preserve">   วิศวกรเครื่องกล</t>
  </si>
  <si>
    <t xml:space="preserve"> - ค่าตอบแทนบุคลากรสนับสนุน(ช่างเทคนิค)</t>
  </si>
  <si>
    <t xml:space="preserve"> - ค่าจัดพิมพ์คู่มือ 600 เล่ม</t>
  </si>
  <si>
    <t xml:space="preserve"> - ค่าจัดฝึกอบรมแนะนำวิธีปฏิบัติ 45 โรง</t>
  </si>
  <si>
    <t xml:space="preserve">    ค่าเอกสาร 95 ชุด</t>
  </si>
  <si>
    <t xml:space="preserve">    ค่าอาหารกลางวัน 95 ชุด (2 วัน)</t>
  </si>
  <si>
    <t xml:space="preserve">    ค่าอาหารว่าง 95 คน x 2 ชุด (2 วัน)</t>
  </si>
  <si>
    <t xml:space="preserve">    ค่าวิทยากร (1200 x 7 ชม.)</t>
  </si>
  <si>
    <t xml:space="preserve">    ค่าสถานที่ 190 ตรม. (2 วัน)</t>
  </si>
  <si>
    <t xml:space="preserve">    ค่าเบี้ยเลี้ยงพนักงาน 3 คน (2 วัน)</t>
  </si>
  <si>
    <t xml:space="preserve">    ค่าใช้จ่ายอื่นๆ (เหมาจ่าย)</t>
  </si>
  <si>
    <t xml:space="preserve"> - ค่าเดินทางติดตามผลโรงงาน 45 โรง (3 ครั้ง)</t>
  </si>
  <si>
    <t xml:space="preserve">   ค่าเช่ารถตู้ (270 วัน)</t>
  </si>
  <si>
    <t xml:space="preserve">   ค่าที่พัก (4 คน 135 คืน)</t>
  </si>
  <si>
    <t xml:space="preserve">   ค่าเบี้ยเลี้ยง (4 คน 270 วัน)</t>
  </si>
  <si>
    <t xml:space="preserve">   ค่าใช้จ่ายอื่นๆ (เหมาจ่าย)</t>
  </si>
  <si>
    <t xml:space="preserve"> - ค่าฝึกอบรมแนะนำ 500 คน (4 ครั้ง ครั้งละ 3 วัน)</t>
  </si>
  <si>
    <t xml:space="preserve">   ค่าเอกสาร 500 ชุด</t>
  </si>
  <si>
    <t xml:space="preserve">   ค่าอาหารกลางวัน 505 คน (พร้อม จนท.)</t>
  </si>
  <si>
    <t xml:space="preserve">    ค่าอาหารว่าง 505 คน x 2 ชุด (3 วัน)</t>
  </si>
  <si>
    <t xml:space="preserve">    ค่าวิทยากร (1200 x 21 ชม.) 4 ครั้ง</t>
  </si>
  <si>
    <t xml:space="preserve">    ค่าสถานที่ 252 ตรม. (3 วัน) 4 ครั้ง</t>
  </si>
  <si>
    <t xml:space="preserve">    ค่าเบี้ยเลี้ยงพนักงาน 3 คน (4 วัน) 4 ครั้ง</t>
  </si>
  <si>
    <t xml:space="preserve">   ค่าเช่ารถตู้คณะทำงานพร้อมสัมภาระ 4 วัน/ครั้ง (4 ครั้ง)</t>
  </si>
  <si>
    <t xml:space="preserve">   ค่าที่พักคณะทำงาน (4 คน 3 คืน/ครั้ง) 4 ครั้ง</t>
  </si>
  <si>
    <t xml:space="preserve"> - ค่าฝึกบรม จนท.อุตสาหกรรม 60 คน (2 วัน)</t>
  </si>
  <si>
    <t xml:space="preserve">   ค่าเอกสาร 60 ชุด</t>
  </si>
  <si>
    <t xml:space="preserve">   ค่าอาหารกลางวัน 65 คน (2 วัน)</t>
  </si>
  <si>
    <t xml:space="preserve">   ค่าอาหารว่าง 65 คน x 2 ชุด (2 วัน)</t>
  </si>
  <si>
    <t xml:space="preserve">   ค่าวิทยากร (1200 x 7 ชม.) 2 วัน</t>
  </si>
  <si>
    <t xml:space="preserve">   ค่าสถานที่ 130 ตรม. (2 วัน)</t>
  </si>
  <si>
    <t xml:space="preserve">   ค่าที่พักคณะทำงาน (4 คน 2 คืน/ครั้ง)</t>
  </si>
  <si>
    <t xml:space="preserve">   ค่าที่พัก จนท.อุตสาหกรรมที่เข้าอบรม 60 คน (ห้องละ 2 คน)</t>
  </si>
  <si>
    <t xml:space="preserve">   ค่าเบี้ยเลี้ยงพนักงาน 3 คน (2 วัน) </t>
  </si>
  <si>
    <t xml:space="preserve"> - ค่าสัมมนาเผยแพร่ผลงาน 200 คน (1 วัน)</t>
  </si>
  <si>
    <t xml:space="preserve">   ค่าเอกสาร 200 ชุด</t>
  </si>
  <si>
    <t xml:space="preserve">   ค่าอาหารกลางวัน 220 คน (รวมคณะทำงาน และ จนท.)</t>
  </si>
  <si>
    <t xml:space="preserve">   ค่าอาหารว่าง 220 คน x 2 ชุด</t>
  </si>
  <si>
    <t xml:space="preserve">   ค่าวิทยากร (1200 x 7 ชม.)</t>
  </si>
  <si>
    <t xml:space="preserve">   ค่าสถานที่ 440 ตรม. </t>
  </si>
  <si>
    <t xml:space="preserve">   ค่าเบี้ยเลี้ยงพนักงาน 3 คน</t>
  </si>
  <si>
    <t xml:space="preserve"> - ค่าจัดทำสื่ออิเล็กทรอนิกส์ 1 เรื่อง (7 นาที)</t>
  </si>
  <si>
    <t>- การจัดเตรียมเอกสารรายงาน</t>
  </si>
  <si>
    <t xml:space="preserve"> - รายงานฉบับต้น</t>
  </si>
  <si>
    <t xml:space="preserve"> - รายงานความก้าวหน้าฉบับที่ 2</t>
  </si>
  <si>
    <t xml:space="preserve"> - รายงานความก้าวหน้าฉบับที่ 3</t>
  </si>
  <si>
    <t xml:space="preserve">   บทสรุปผู้บริหาร</t>
  </si>
  <si>
    <t xml:space="preserve">ค่าเช่าสถานที่และโสตทัศนอุปกรณ์ </t>
  </si>
  <si>
    <t xml:space="preserve">ค่าอาหารกลางวัน </t>
  </si>
  <si>
    <t>ค่าอาหารว่าง (2 มื้อ)</t>
  </si>
  <si>
    <t xml:space="preserve">ค่าวิทยากรบรรยาย </t>
  </si>
  <si>
    <t>ค่าวิทยากรอภิปราย (4 คน x 4 ชม.)</t>
  </si>
  <si>
    <t>ค่าเอกสารประกอบการประชุม</t>
  </si>
  <si>
    <t>ค่าอาหารกลางวัน (25 คน x 1 วัน x 4 ครั้ง)</t>
  </si>
  <si>
    <t>ค่าอาหารกลางวันและอาหารเย็น (25 คน x 1 วัน x 4 ครั้ง)</t>
  </si>
  <si>
    <t>ค่าอาหารว่าง (25 คน x 2 มื้อ x 2 วัน x 4 ครั้ง)</t>
  </si>
  <si>
    <t>ค่าเอกสาร (25 คน x 4 ครั้ง x 2 วัน)</t>
  </si>
  <si>
    <t>ค่าเช่ารถตู้ (4 คัน x 4 ครั้ง)</t>
  </si>
  <si>
    <t>ค่าวิทยากร (7 ชม. X 2 วัน x 4 ครั้ง)</t>
  </si>
  <si>
    <t>ค่าที่พักผู้เข้าร่วม (25 คน x  1 คืน x 4 ครั้ง)</t>
  </si>
  <si>
    <t>ค่าเช่ารถตู้ รวมน้ำมัน (100 โรงงาน x 2 วัน x 2 ครั้ง)</t>
  </si>
  <si>
    <t>ค่าเครื่องบิน (28 โรงงาน X 2 คน  x 2 ครั้ง)</t>
  </si>
  <si>
    <t>ค่าที่พักวิทยากร (100 โรงงาน  x  2 คน x 1 คืน  x 2 ครั้ง)</t>
  </si>
  <si>
    <t>ค่าเอกสารประกอบการตรวจ (1 ชุด  x 100 โรงงาน)</t>
  </si>
  <si>
    <t>ค่าเช่ารถตู้ รวมน้ำมัน (100 โรงงาน x 2 วัน x 1 ครั้ง)</t>
  </si>
  <si>
    <t>ค่าเครื่องบิน (28 โรงงาน X 2 คน  x 1 ครั้ง)</t>
  </si>
  <si>
    <t>ค่าที่พักวิทยากร (50 โรงงาน  x  2 คน x 1 คืน  x 1 ครั้ง)</t>
  </si>
  <si>
    <t>โล่รางวัลและประกาศเกียรติบัตรแก่โรงงานที่เข้าร่วมดำเนินการ</t>
  </si>
  <si>
    <t>จัดทำวีดีทัศน์สรุปผลการดำเนินงาน ความยาวไม่เกิน 5 นาที</t>
  </si>
  <si>
    <t xml:space="preserve">โปสเตอร์ ขนาด A2 พิมพ์ 4 สี </t>
  </si>
  <si>
    <t>แผ่น Roll up (2 เรื่อง x 2 ชุด)</t>
  </si>
  <si>
    <t xml:space="preserve">จัดทำ CD องค์ความรู้ด้านมาตรฐานความปลอดภัยในรูปแบบ เช่น วีดิทัศน์ </t>
  </si>
  <si>
    <t>รายงานผลการดำเนินการของผู้ประกอบการ (100 โรงงาน )</t>
  </si>
  <si>
    <t>แผนการดำเนินโครงการ 8 ฉบับ พร้อม CD-Rom 1 แผ่น</t>
  </si>
  <si>
    <t>รายงานฉบับที่ 1 จำนวน 8 ฉบับ พร้อม CD-Rom 1 แผ่น</t>
  </si>
  <si>
    <t>รายงานฉบับที่ 2 จำนวน 8 ฉบับ พร้อม CD-Rom 1 แผ่น</t>
  </si>
  <si>
    <t>รายงานฉบับที่ 3 จำนวน 8 ฉบับ พร้อม CD-Rom 1 แผ่นพร้อม CD-Rom</t>
  </si>
  <si>
    <t>1) รายงานฉบับสมบูรณ์ ภาษาไทย พร้อม CD-Rom</t>
  </si>
  <si>
    <t>2) รายงานสรุปสำหรับผู้บริหาร ไทยและอังกฤษ</t>
  </si>
  <si>
    <t>ค่าออกแบบและพัฒนาระบบสารสนเทศ</t>
  </si>
  <si>
    <t>ค่าอาหารกลางวัน (15 คน X 4 ครั้ง)</t>
  </si>
  <si>
    <t>ค่าอาหารว่าง (15 คน X 4 ครั้ง x 2 มื้อ)</t>
  </si>
  <si>
    <t>ค่าเช่ารถตู้ รวมน้ำมัน (500 โรงงาน)</t>
  </si>
  <si>
    <t>ค่าจ้างพนักงานสำรวจข้อมูลสารเคมี</t>
  </si>
  <si>
    <t>ค่าเช่าสถานที่และโสตทัศนอุปกรณ์ (25 คน x 4 ครั้ง)</t>
  </si>
  <si>
    <t>จัดพิมพ์เอกสารคู่มือ</t>
  </si>
  <si>
    <t>ค่าเช่ารถตู้ รวมน้ำมัน (20 โรงงาน x 2 วัน x 2 ครั้ง)</t>
  </si>
  <si>
    <t>ค่าเบี้ยเลี้ยงเจ้าหน้าที่ (20 โรงงาน X 2 วัน X 2 คน x 2 ครั้ง)</t>
  </si>
  <si>
    <t>ค่าเครื่องบินเจ้าหน้าที่ (10 โรงงาน X 2 คน x 2 ครั้ง)</t>
  </si>
  <si>
    <t>ค่าที่พักเจ้าหน้าที่ (20 โรงงาน x  2 คน x 1 คืน x 2 ครั้ง)</t>
  </si>
  <si>
    <t>ค่าเอกสารประกอบการตรวจ ( 20 โรงงาน x 1 ชุด)</t>
  </si>
  <si>
    <t>ค่าเช่ารถตู้ รวมน้ำมัน (20 โรงงาน X 1 วัน  x 1 ครั้ง)</t>
  </si>
  <si>
    <t>ค่าเบี้ยเลี้ยงเจ้าหน้าที่ (20 โรงงาน X 1 วัน X 2 คน  x 1 ครั้ง)</t>
  </si>
  <si>
    <t>ค่าเครื่องบินเจ้าหน้าที่ (10 โรงงาน X 2 คน  x 1 ครั้ง)</t>
  </si>
  <si>
    <t>ค่าอาหารกลางวัน (35 คน x 6 ครั้ง)</t>
  </si>
  <si>
    <t>ค่าอาหารว่าง (35 คน x 6 ครั้ง x 2 มื้อ)</t>
  </si>
  <si>
    <t>ค่าเอกสาร (35 คน x 6 ครั้ง)</t>
  </si>
  <si>
    <t>ค่าน้ำมัน (6 ครั้ง)</t>
  </si>
  <si>
    <t>ค่าวิทยากร (7 ชม. X 1 วัน x 6 ครั้ง)</t>
  </si>
  <si>
    <t>ค่าเครื่องบินเจ้าหน้าที่ (10 คน x 4 ครั้ง)</t>
  </si>
  <si>
    <t>ค่าเบี้ยเลี้ยงเจ้าหน้าที่ (12 คน x 2 วัน x 4 ครั้ง)</t>
  </si>
  <si>
    <t>ค่าที่พักเจ้าหน้าที่ (12 คน x 1 คืน x 6 ครั้ง)</t>
  </si>
  <si>
    <t>ค่าที่แท๊กซี่ (12 คน x 6 ครั้ง)</t>
  </si>
  <si>
    <t>ค่าเบ็ดเตล็ด</t>
  </si>
  <si>
    <t>ค่าอาหารกลางวัน (25 คน x 1 วัน x 2 ครั้ง)</t>
  </si>
  <si>
    <t>ค่าอาหารกลางวันและอาหารเย็น (25 คน x 1 วัน x 2 ครั้ง)</t>
  </si>
  <si>
    <t>ค่าอาหารว่าง (25 คน x 2 มื้อ x 2 วัน x 2 ครั้ง)</t>
  </si>
  <si>
    <t>ค่าเอกสาร (25 คน x 2 ครั้ง)</t>
  </si>
  <si>
    <t>ค่าน้ำมัน (4 คัน x 2 ครั้ง)</t>
  </si>
  <si>
    <t>ค่าวิทยากร (7 ชม. X 2 วัน x 2 ครั้ง)</t>
  </si>
  <si>
    <t>ค่าที่พักผู้เข้าร่วม (25 คน x  1 คืน x 2 ครั้ง)</t>
  </si>
  <si>
    <t>ค่าของที่ระลึก (ครั้งละ 2 ชุด x 2 ครั้ง)</t>
  </si>
  <si>
    <t>ค่าที่แท๊กซี่ (25 คน x 2 ครั้ง)</t>
  </si>
  <si>
    <t>การทำงานของระบบทำความเย็นที่ใช้แอมโมเนียเป็นสารทำความเย็น ที่สมบูรณ์</t>
  </si>
  <si>
    <t>(จำนวน 1 เครื่อง ระยะเวลา 2 เดือน เดือนละ 25,000 บาทต่อเครื่อง)</t>
  </si>
  <si>
    <t xml:space="preserve"> ที่เป็นระบบสมบูรณ์ในรูปแบบต่างๆ กับโรงงานต้นแบบ  ไม่น้อยกว่า 3 โรงงาน </t>
  </si>
  <si>
    <t>เป็นสารทำความเย็นเข้าร่วมไม่น้อยกว่า 200 คน-วัน (จำนวนคนทั้งหมด 100 คน ระยะเวลาครั้งละ 2 วัน) ร่วมกับกรมโรงงานอุตสาหกรรม</t>
  </si>
  <si>
    <t xml:space="preserve"> - ค่าอาหารกลางวัน อาหารว่างและเครื่องดื่ม</t>
  </si>
  <si>
    <t xml:space="preserve"> - ค่าวิทยากร</t>
  </si>
  <si>
    <t xml:space="preserve"> - ค่าสถานที่จัดอบรม</t>
  </si>
  <si>
    <t xml:space="preserve"> - ค่าเช่าอุปกรณ์ เช่น คอมพิวเตอร์ แอลซีดี</t>
  </si>
  <si>
    <t xml:space="preserve"> - ค่าเอกสารประกอบการอบรม</t>
  </si>
  <si>
    <t xml:space="preserve"> - ค่าเช่ารถตู้</t>
  </si>
  <si>
    <t xml:space="preserve"> - ค่าน้ำมันเชื้อเพลิง</t>
  </si>
  <si>
    <t xml:space="preserve"> - ค่าเอกสารใบสมัครเข้าร่วมโครงการ </t>
  </si>
  <si>
    <t xml:space="preserve"> - ค่าตั๋วเครื่องบิน</t>
  </si>
  <si>
    <t>เที่ยว</t>
  </si>
  <si>
    <t xml:space="preserve"> - ค่าสถานที่จัดประชุมสัมมนา</t>
  </si>
  <si>
    <t xml:space="preserve"> - ค่าเอกสารการสัมมนา</t>
  </si>
  <si>
    <t>เรื่อง</t>
  </si>
  <si>
    <t xml:space="preserve"> - ค่าจัดทำรายงานฉบับที่ 1</t>
  </si>
  <si>
    <t xml:space="preserve"> - ค่าจัดทำรายงานฉบับที่ 2</t>
  </si>
  <si>
    <t xml:space="preserve"> - ค่าจัดทำรายงานฉบับที่ 3</t>
  </si>
  <si>
    <t xml:space="preserve"> - ค่าจัดทำรายงานฉบับสมบูรณ์</t>
  </si>
  <si>
    <t xml:space="preserve"> - ค่าจัดทำรายงานสรุปสำหรับผู้บริหาร</t>
  </si>
  <si>
    <t xml:space="preserve"> - ค่าเบี้ยประชุมผู้เชี่ยวชาญ (จำนวน 10 คนๆ ละ 1200 บาท จำนวน 6 ครั้ง)</t>
  </si>
  <si>
    <t xml:space="preserve"> - ค่าเช่าสถานที่ (ครั้งละ 2,000 บาท 6 ครั้ง)</t>
  </si>
  <si>
    <t xml:space="preserve"> - ค่าเอกสารประกอบการประชุม (70 บาท จำนวน 60 ขุด)</t>
  </si>
  <si>
    <t xml:space="preserve">   ค่าใช้จ่ายในการจัดซื้อมาตรฐานการประเมินความเสี่ยงและการประเมินอายุภาชนะรับแรงดัน</t>
  </si>
  <si>
    <t xml:space="preserve">   ค่าใช้จ่ายในการจัดทำคู่มือ (500 ชุด ๆ ละ 500 บาท)</t>
  </si>
  <si>
    <t xml:space="preserve"> - ค่าอาหารกลางวัน อาหารว่างและเครื่องดื่ม (600 บาท 240 คน)</t>
  </si>
  <si>
    <t xml:space="preserve"> - ค่าอุปกรณ์ เอกสาร (200 บาท 240 ชุด)</t>
  </si>
  <si>
    <t xml:space="preserve"> - Roll Up จำนวน 10 ชุด ๆ ละ 2000 บาท</t>
  </si>
  <si>
    <t xml:space="preserve"> - ค่าเอกสารแผ่นพับ ประชาสัมพันธ์ (4 ชุด ๆ ละ 2750 บาท)</t>
  </si>
  <si>
    <t xml:space="preserve"> - ค่าเดินทาง (ค่าเช่ารถตู้ พร้อมน้ำมันเชื้อเพลิง 2500 บาท 40 วัน)</t>
  </si>
  <si>
    <t xml:space="preserve"> - ค่าใช้จ่ายในการตรวจประเมินความเสี่ยงของภาชนะรับแรงดัน (30000 บาท 40 เครื่อง)</t>
  </si>
  <si>
    <t xml:space="preserve"> - ค่าใช้จ่ายในการตรวจประเมินอายุภาชนะรับแรงดัน 70,000 บาท 40 เครื่อง)</t>
  </si>
  <si>
    <t xml:space="preserve">   (1.3.4) ค่าจัดทำเอกสารรายงาน</t>
  </si>
  <si>
    <t>ส่งเสริม พัฒนา ปรับปรุงความปลอดภัย
สภาวะการทำงานและระบบไฟฟ้าในโรงงาน</t>
  </si>
  <si>
    <t>ฝึกอบรม เรื่อง “สภาวะการทำงานและ
ระบบไฟฟ้าที่ปลอดภัยในทุกฤดู”</t>
  </si>
  <si>
    <t>ฝึกอบรม เรื่อง “ความปลอดภัยระบบไฟฟ้า
ในบริเวณอันตราย”</t>
  </si>
  <si>
    <t xml:space="preserve">   - ค่าจัดทำคู่มือหลักเกณฑ์ เงื่อนไข และวิธีปฏิบัติด้านความปลอดภัยฯ, แบบฟอร์มฯ</t>
  </si>
  <si>
    <t xml:space="preserve">   - ค่าจัดพิมพ์คู่มือฯ </t>
  </si>
  <si>
    <t xml:space="preserve">   - ค่าจัดทำ DVD </t>
  </si>
  <si>
    <t xml:space="preserve">   - ค่าจัดทำคู่มือแนวทางการพิจารณาอนุญาตฯ, แบบฟอร์มฯ </t>
  </si>
  <si>
    <t xml:space="preserve">   - ค่าเช่ารถตู้พร้อมค่าน้ำมัน (2วัน/โรงงาน x 40 โรงงาน x 1คัน/วัน)</t>
  </si>
  <si>
    <t xml:space="preserve">   - ค่าเช่าที่พัก (1คน/ห้อง x 5 ห้อง/คืน x 1 คืน/โรงงาน x 40 โรงงาน)</t>
  </si>
  <si>
    <t xml:space="preserve">   - ค่าเบี้ยเลี้ยงเจ้าหน้าที่ (2 คน/วัน x 2 วัน/โรงงาน x 40 โรงงาน)</t>
  </si>
  <si>
    <t xml:space="preserve">   - ค่าเบี้ยเลี้ยงผู้เชี่ยวชาญ (3 คน/วัน x 2 วัน/โรงงาน x 40 โรงงาน)</t>
  </si>
  <si>
    <t xml:space="preserve">   - ค่าเอกสารสำรวจโรงงาน </t>
  </si>
  <si>
    <t xml:space="preserve">   - ค่าใช้จ่ายอื่นๆ</t>
  </si>
  <si>
    <t xml:space="preserve">   - ค่าเช่าสถานที่เอกชน (ประมาณ 200 ตร.ม.)</t>
  </si>
  <si>
    <t xml:space="preserve">   - ค่าสมนาคุณวิทยากร (2 คน/ชม. x 7 ชม./วัน x 1 วัน)</t>
  </si>
  <si>
    <t xml:space="preserve">   - ค่าตอบแทนเจ้าหน้าที่รับลงทะเบียน,ดำเนินการประชุม </t>
  </si>
  <si>
    <t xml:space="preserve">   - ค่าอาหาร (300คนx 1 วัน)</t>
  </si>
  <si>
    <t xml:space="preserve">   - ค่าอาหารว่างและเครื่องดื่ม (300คนx 1 วัน x 2 ชุด/วัน)</t>
  </si>
  <si>
    <t>คน-ชุด</t>
  </si>
  <si>
    <t xml:space="preserve">   - ค่าเช่ารถตู้+ค่าน้ำมัน (1 วัน  x 1 คัน/วัน)</t>
  </si>
  <si>
    <t xml:space="preserve">   - ค่าเอกสาร (300 คน x 1 วัน x 1 ชุด/วัน)</t>
  </si>
  <si>
    <t xml:space="preserve">   - ค่าเช่าสถานที่เอกชน (ประมาณ 100 ตร.ม.)</t>
  </si>
  <si>
    <t xml:space="preserve">   - ค่าอาหาร (100คนx 1 วัน)</t>
  </si>
  <si>
    <t xml:space="preserve">   - ค่าอาหารว่างและเครื่องดื่ม (100คนx 1 วัน x 2 ชุด/วัน)</t>
  </si>
  <si>
    <t xml:space="preserve">   - ค่าเอกสาร (100 คน x 1 วัน x 1 ชุด/วัน)</t>
  </si>
  <si>
    <t xml:space="preserve">   - ค่าเช่าสถานที่เอกชน (ประมาณ 300 ตร.ม.)</t>
  </si>
  <si>
    <t xml:space="preserve">   - ค่าจัดทำรายงานฉบับที่ 1</t>
  </si>
  <si>
    <t xml:space="preserve">   - ค่าจัดทำรายงานฉบับที่ 2</t>
  </si>
  <si>
    <t xml:space="preserve">   - ค่าจัดทำรายงานฉบับที่ 3</t>
  </si>
  <si>
    <t xml:space="preserve">   - ค่าจัดทำรายงานฉบับสมบูรณ์</t>
  </si>
  <si>
    <t xml:space="preserve">   - ค่าจัดทำรายงานสรุปสำหรับผู้บริหาร</t>
  </si>
  <si>
    <t>(1.3) ค่าใช้จ่ายในการดเนินการ</t>
  </si>
  <si>
    <t>(1.3.1) กิจกรรมที่ 1 การส่งเสริมการป้องกันอัคคีภัยภายใต้ Safety Thailand</t>
  </si>
  <si>
    <t>รายละเอียดค่าใช้จ่ายในการดำเนินกิจกรรม</t>
  </si>
  <si>
    <t>(1.3.2) กิจกรรมที่ 2 การส่งเสริมพัฒนาความปลอดภัยสารเคมีภาคอุตสาหกรรม</t>
  </si>
  <si>
    <t>กิจกรรมย่อยที่ 1 ส่งเสริมให้เกิดความปลอดภัยสารเคมีในภาคอุตสาหกรรม</t>
  </si>
  <si>
    <t>กิจกรรมย่อยที่ 2 พัฒนาระบบสารสนเทศความปลอดภัยสารเคมีในภาคอุตสาหกรรม</t>
  </si>
  <si>
    <t>กิจกรรมย่อยที่ 3</t>
  </si>
  <si>
    <t>(1.3.3) กิจกรรมที่ 3 การส่งเสริมความปลอดภัยระบบทำความเย็นที่ใช้แอมโมเนียเป็นสารทำความเย็น</t>
  </si>
  <si>
    <t>ค่าใช้จ่ายในการจัดประชุมจัดทำหลักเกณฑ์และคู่มือ ( ครั้งละ 1 วัน)</t>
  </si>
  <si>
    <t>ค่าใช้จ่ายในการจัดซื้อมาตรฐานเกี่ยวกับระบบทำความเย็นที่ใช้แอมโมเนียเป็นสารทำความเย็น</t>
  </si>
  <si>
    <t xml:space="preserve">ค่าใช้จ่ายในการเช่าเครื่องคอมพิวเตอร์ หน่วยความจำ และโปรแกรมในการจำลอง </t>
  </si>
  <si>
    <t xml:space="preserve">    - ค่าเช่าสถานที่</t>
  </si>
  <si>
    <t xml:space="preserve">    - ค่าเบี้ยประชุมผู้เชี่ยวชาญ (1,200 บาทต่อคน จำนวน 10 คน)</t>
  </si>
  <si>
    <t xml:space="preserve">    - ค่าเอกสารประกอบการประชุม</t>
  </si>
  <si>
    <t>ค่าวิทยากร</t>
  </si>
  <si>
    <t xml:space="preserve"> ค่าอุปกรณ์ เอกสาร</t>
  </si>
  <si>
    <t>ค่าเดินทาง (ค่าเช่ารถตู้ พร้อมน้ำมันเชื้อเพลิง จำนวน 5 คันต่อครั้ง ครั้งละ 2 วัน)</t>
  </si>
  <si>
    <t>ค่าอาหาร อาหารว่าง (1 มื้อหลัก, 2 เบรก )</t>
  </si>
  <si>
    <t>Roll Up</t>
  </si>
  <si>
    <t>เอกสารแผ่นพับ ประชาสัมพันธ์</t>
  </si>
  <si>
    <t>ค่าที่พัก (40 คนต่อครั้ง คนละ 2,000 บาท รวมทั้งหมด 3 ครั้ง)</t>
  </si>
  <si>
    <t>ค่าอาหาร</t>
  </si>
  <si>
    <t>ค่าใช้จ่ายจัดทำคู่มือ</t>
  </si>
  <si>
    <t>(1.3.4) กิจกรรมที่ 4 การส่งเสริมการจัดการระบบความปลอดภัยในโรงงาน</t>
  </si>
  <si>
    <t xml:space="preserve"> ค่าใช้จ่ายในการอบรม (4 ครั้ง)</t>
  </si>
  <si>
    <t>ค่าใช้จ่ายในการอบรมผู้เข้าร่วมโครงการ</t>
  </si>
  <si>
    <t>ค่าเดินทางเข้าให้คำปรึกษา (100 โรงงานๆละ 3 ครั้ง)</t>
  </si>
  <si>
    <t xml:space="preserve">ค่าเดินทางตรวจประเมินโรงงาน 100 โรงงาน </t>
  </si>
  <si>
    <t>ค่าจัดประชุมสัมมนา (2 ครั้ง รวม 300 คน)</t>
  </si>
  <si>
    <t xml:space="preserve">ค่าจัดทำสื่ออิเล็กทรอนิกส์ </t>
  </si>
  <si>
    <t>ค่าจัดทำรายงาน</t>
  </si>
  <si>
    <t>ค่าบริหารโครงการ</t>
  </si>
  <si>
    <t>(1.3.5) กิจกรรมที่ 5 การจัดทำระบบประเมินความเสี่ยงและประเมินอายุภาชนะรับแรงดัน ระยะที่ 2</t>
  </si>
  <si>
    <t>ศึกษาและจัดทำหลักเกณฑ์และคู่มือ</t>
  </si>
  <si>
    <t>ฝึกอบรมบุคลากรไม่น้อยกว่า 240 คน-วัน</t>
  </si>
  <si>
    <t>การดำเนินการประเมินความเสี่ยงและประเมินอายุภาชนะรับแรงดันกับโรงงานต้นแบบ จำนวนภาชนะรับแรงดันไม่น้อยกว่า 40 เครื่อง ไม่น้อยกว่า 20 โรงงาน</t>
  </si>
  <si>
    <t>(1.3.6) กิจกรรมที่ 6 การส่งเสริมและพัฒนาความปลอดภัยระบบไฟฟ้าในโรงงานอุตสาหกรรมสู่ “Electrical Safety Thailand” (“อุตสาหกรรมปลอดภัย เพราะใส่ใจระบบไฟฟ้า”)</t>
  </si>
  <si>
    <t>กิจกรรมย่อยที่ 1</t>
  </si>
  <si>
    <t>จัดทำหลักเกณฑ์การคัดเลือก และค่าจัดทำเอกสารที่เกี่ยวข้อง พร้อมค่าจัดส่งหนังสือเชิญ</t>
  </si>
  <si>
    <t xml:space="preserve">     - ค่าจัดทำหลักเกณฑ์การสมัครคัดเลือกผู้ประกอบกิจการโรงงาน และค่าจัดทำเอกสารที่เกี่ยวข้องพร้อมส่งหนังสือเชิญ</t>
  </si>
  <si>
    <t>จัดฝึกอบรมแนะนำวิธีการปฏิบัติ และค่าเดินทางเข้าติดตามผล 100 โรงงาน (2 ครั้ง)</t>
  </si>
  <si>
    <t>การฝึกอบรมแนะนำวิธีการปฏิบัติ</t>
  </si>
  <si>
    <t xml:space="preserve">     - ค่าเอกสาร (100 โรงงาน x 2 คน) + คณะทำงานและผู้เข้าร่วมประชุมรวม 50 คน</t>
  </si>
  <si>
    <t xml:space="preserve">     - ค่าอาหาร (100 โรงงาน x 2 คน) + คณะทำงานและผู้เข้าร่วมประชุมรวม 50 คน</t>
  </si>
  <si>
    <t xml:space="preserve">     - ค่าอาหารว่าง (2 ชุด x 45 คน) (คณะทำงานและผู้เข้าร่วมประชุมรวม 45 คน)</t>
  </si>
  <si>
    <t xml:space="preserve">     - ค่าวิทยากร</t>
  </si>
  <si>
    <t xml:space="preserve">     - ค่าสถานที่ (ขนาด 500 ตรม. X 170 บาท) </t>
  </si>
  <si>
    <t xml:space="preserve">     - ค่าเบี้ยเลี้ยงเจ้าหน้าที่ จำนวน 5 คน(ลงทะเบียน ฯลฯ)</t>
  </si>
  <si>
    <t xml:space="preserve">     -  ค่าใช้จ่ายอื่นๆ</t>
  </si>
  <si>
    <t>การเดินทางเข้าติดตามผล 20 โรงงาน 
(2 ครั้ง)</t>
  </si>
  <si>
    <t xml:space="preserve">    - ค่าเช่ารถตู้ (400 วัน)</t>
  </si>
  <si>
    <t xml:space="preserve">    - ค่าที่พัก (4 คน 200 คืน)</t>
  </si>
  <si>
    <t xml:space="preserve">    - ค่าเบี้ยเลี้ยง (4 คน 80 วัน)</t>
  </si>
  <si>
    <t xml:space="preserve">    - ค่าใช้จ่ายอื่นๆ</t>
  </si>
  <si>
    <t>สัมมนา จำนวน 1 วัน</t>
  </si>
  <si>
    <t xml:space="preserve">    - ค่าอาหาร (คณะทำงานและผู้เข้าร่วมประชุมรวม 300 คน)</t>
  </si>
  <si>
    <t xml:space="preserve">    - ค่าสถานที่ 
(ประมาณ 600 ตรม. X 170 บาท/ตรม.)</t>
  </si>
  <si>
    <t xml:space="preserve">    - ค่าอาหารว่าง (2 ชุด x 300 คน)</t>
  </si>
  <si>
    <t xml:space="preserve">    - ค่าวิทยากรผู้เชี่ยวชาญ</t>
  </si>
  <si>
    <t xml:space="preserve">    - ค่าเอกสาร</t>
  </si>
  <si>
    <t xml:space="preserve">    - ค่าเบี้ยเลี้ยงเจ้าหน้าที่ จำนวน 5 คน(ลงทะเบียน ฯลฯ)</t>
  </si>
  <si>
    <t>จัดทำชุดเผยแพร่องค์ความรู้ 
จำนวน 4 ชุด</t>
  </si>
  <si>
    <t xml:space="preserve">    - ค่าจัดทำคู่มือ ขนาด A5 จำนวน 500 เล่ม (ไม่น้อยกว่า 50 แผ่น)</t>
  </si>
  <si>
    <t xml:space="preserve">    - จัดทำข้อเสนอการพัฒนาความปลอดภัย</t>
  </si>
  <si>
    <t xml:space="preserve">    - ค่าจัดทำโปสเตอร์ จำนวน 200 แผ่น</t>
  </si>
  <si>
    <t xml:space="preserve">    - ค่าจัดทำ Roll Up จำนวน 5 ชุด</t>
  </si>
  <si>
    <t>จัดทำรายงาน</t>
  </si>
  <si>
    <t xml:space="preserve">    - ค่าจัดทำรายงานฉบับที่ 1</t>
  </si>
  <si>
    <t xml:space="preserve">    - ค่าจัดทำรายงานฉบับที่ 2</t>
  </si>
  <si>
    <t xml:space="preserve">    - ค่าจัดทำรายงานฉบับที่ 3</t>
  </si>
  <si>
    <t xml:space="preserve">    - ค่าจัดทำรายงานฉบับสมบูรณ์</t>
  </si>
  <si>
    <t xml:space="preserve">    - ค่าจัดทำบทสรุปสำหรับผู้บริหาร</t>
  </si>
  <si>
    <t>กิจกรรมย่อยที่ 2</t>
  </si>
  <si>
    <t xml:space="preserve">    - ค่าอาหาร (คณะทำงานและผู้เข้าร่วมประชุม) (1,000 โรงงาน x 1 คน)</t>
  </si>
  <si>
    <t xml:space="preserve">    - ค่าสถานที่ 
(ประมาณ 2,000 ตรม. X 170 บาท/ตรม.)</t>
  </si>
  <si>
    <t xml:space="preserve">    - ค่าอาหารว่าง (2 ชุด x 1000 คน)</t>
  </si>
  <si>
    <t>ประชุมวิชาการ  โครงการส่งเสริมและพัฒนาความปลอดภัยระบบไฟฟ้าในโรงงานอุตสาหกรรม สู่ "Electrical Safety Thailand" ("อุตสาหกรรมปลอดภัยเพราะใส่ใจระบบบไฟฟ้า")</t>
  </si>
  <si>
    <t>กิจกรรมย่อยที่ 4</t>
  </si>
  <si>
    <t xml:space="preserve">    - ค่าอาหาร (คณะทำงานและผู้เข้าร่วมประชุม) (500 โรงงาน x 1 คน)</t>
  </si>
  <si>
    <t xml:space="preserve">    - ค่าสถานที่ 
(ประมาณ 1,000 ตรม. X 170 บาท/ตรม.)</t>
  </si>
  <si>
    <t xml:space="preserve">    - ค่าอาหารว่าง (2 ชุด x 5000 คน)</t>
  </si>
  <si>
    <t xml:space="preserve">    - ค่าอาหาร (คณะทำงานและผู้เข้าร่วมประชุม) (1,000 คน)</t>
  </si>
  <si>
    <t>(1.3.7) กิจกรรมที่ 7 การส่งเสริมและพัฒนาความปลอดภัยในสภาวะการทำงาน</t>
  </si>
  <si>
    <t>ค่าจัดทำแนวทางและแผนการดำเนินงานฯ</t>
  </si>
  <si>
    <t>ค่าศึกษาข้อตกลงระหว่างประเทศฯ</t>
  </si>
  <si>
    <t>ค่าศึกษาและรวบรวมข้อมูลหลักเกณฑ์ฯ</t>
  </si>
  <si>
    <t>ค่าจัดทำคู่มือหลักเกณฑ์ เงื่อนไข และวิธีปฏิบัติด้านความปลอดภัยฯ, แบบฟอร์มฯ และจัดพิมพ์คู่มือ พร้อมDVD 300 ชุด</t>
  </si>
  <si>
    <t>ค่าจัดทำคู่มือแนวทางการพิจารณาอนุญาตฯ,แบบฟอร์มฯ และจัดพิมพ์คู่มือ พร้อมDVD 300 ชุด</t>
  </si>
  <si>
    <t>ค่าสำรวจและรวบรวมข้อมูลจากโรงงานอุตสาหกรรมชีวภาพฯ จำนวนไม่น้อยกว่า 40 โรงงาน</t>
  </si>
  <si>
    <t>ค่าถ่ายทอดแนวปฏิบัติด้านความปลอดภัยฯ จำนวนผู้เข้าร่วมไม่น้อยกว่า 300 คน</t>
  </si>
  <si>
    <t xml:space="preserve"> ค่าถ่ายทอดแนวทางการกำกับดูแลอุตสาหกรรมชีวภาพฯ จำนวนผู้เข้าร่วมไม่น้อยกว่า 100 คน</t>
  </si>
  <si>
    <t>ค่าจัดประชุมสรุปผลการดำเนินงานฯ จำนวนผู้เข้าร่วมไม่น้อยกว่า 300 คน</t>
  </si>
  <si>
    <t xml:space="preserve"> ค่าจัดทำรายงาน</t>
  </si>
  <si>
    <t xml:space="preserve">การสร้างความรู้ ความเข้าใจเกี่ยวกับความปลอดภัยสารเคมี และชี้แจงรายละเอียดโครงการ </t>
  </si>
  <si>
    <t>ให้ความรู้และให้คำแนะนำเพื่อเตรียมความพร้อมให้แก่โรงงานที่ได้รับคัดเลือกเข้าร่วมโครงการ</t>
  </si>
  <si>
    <t xml:space="preserve">การเพิ่มประสิทธิภาพการปฏิบัติงานของเจ้าหน้าที่รัฐให้มีองค์ความรู้เกี่ยวกับความปลอดภัยสารเคมี </t>
  </si>
  <si>
    <t xml:space="preserve"> เพิ่มศักยภาพผู้ประกอบการสามารถปฏิบัติงานได้โดยให้คำแนะนำและสอนงาน (Supervise and Coaching) แก่โรงงาน </t>
  </si>
  <si>
    <t>ประเมินผลและทวนสอบ (Evaluate and Verified) โรงงาน เพื่อให้ผู้ประกอบการพัฒนาขีดความสามารถเพิ่มขึ้น</t>
  </si>
  <si>
    <t>ถ่ายทอดองค์ความรู้และประสบการณ์และสรุปผลการดำเนินโครงการ ให้แก่องค์กรภาคธุรกิจ และหน่วยงานภาคราชการที่เกี่ยวข้อง</t>
  </si>
  <si>
    <t>การเผยแพร่องค์ความรู้ให้แก่ผู้ประกอบการโดยผ่านสื่อต่างๆ เช่น เอกสารคู่มือ / ซีดีรอมข้อมูล / วีดิทัศน์ /แผ่นป้าย</t>
  </si>
  <si>
    <t>การจัดทำเอกสารรายงาน</t>
  </si>
  <si>
    <t xml:space="preserve">ออกแบบและพัฒนาระบบสารสนเทศการประเมินความปลอดภัยด้านสารเคมีภายในโรงงานอุตสาหกรรม โดยนำข้อกำหนดทางกฎหมายและหลักเกณฑ์ความปลอดภัยสารเคมีมาเป็นเงื่อนไขในการพัฒนาระบบ และระบบสามารถเชื่อมโยงข้อมูลกับฐานข้อมูลโรงงานของกรมโรงงานอุตสาหกรรมได้ </t>
  </si>
  <si>
    <t xml:space="preserve">ออกแบบ พัฒนาและปรับปรุงระบบสารสนเทศข้อมูลสารเคมีในโรงงานอุตสาหกรรม ให้สามารถประมวลผลได้ในเชิงพื้นที่ และเชื่อมโยงกับหน่วยงานเครือข่าย จำนวนอย่างน้อย 2 เครือข่าย </t>
  </si>
  <si>
    <t>จัดประชุมกลุ่มย่อยกับผู้เกี่ยวข้องเพื่อระดมความคิดเห็นในการพัฒนาระบบไม่น้อยกว่า 4 ครั้ง</t>
  </si>
  <si>
    <t xml:space="preserve"> สำรวจข้อมูลสารเคมีที่มีการผลิต เก็บ หรือใช้ในโรงงานอุตสาหกรรม ไม่น้อยกว่า 500 โรงงาน และบันทึกข้อมูลสารเคมีลงในระบบสารสนเทศข้อมูลสารเคมีโรงงานอุตสาหกรรม</t>
  </si>
  <si>
    <t xml:space="preserve"> ฝึกอบรมการใช้งานระบบ ให้แก่ผู้ประกอบกิจการโรงงาน เจ้าหน้าที่กระทรวงอุตสาหกรรม และผู้ที่เกี่ยวข้อง รวมทั้งสิ้นไม่น้อยกว่า 100 คน</t>
  </si>
  <si>
    <t>จัดทำคู่มือการใช้งานระบบสารสนเทศการประเมินความปลอดภัยด้านสารเคมีภายในโรงงานอุตสาหกรรม จำนวน 800 เล่ม และคู่มือระบบสารสนเทศข้อมูลสารเคมีในโรงงานอุตสาหกรรม จำนวน 200 เล่ม</t>
  </si>
  <si>
    <t>พัฒนาศักยภาพเจ้าหน้าที่ของกระทรวงอุตสาหกรรม ให้สามารถปฏิบัติงานเพื่อให้คำแนะนำและสอนงาน (Supervise and Coaching) แก่โรงงานตามหลักเกณฑ์หรือมาตรฐานความปลอดภัยสากลเบื้องต้น</t>
  </si>
  <si>
    <t xml:space="preserve">พัฒนาศักยภาพเจ้าหน้าที่ของกระทรวงอุตสาหกรรม ให้สามารถปฏิบัติงานเพื่อประเมินผลและทวนสอบ (Evaluate and Verified) โรงงานตามหลักเกณฑ์หรือมาตรฐานความปลอดภัยสากลเบื้องต้น </t>
  </si>
  <si>
    <t>การระดมความคิดเห็นด้านความปลอดภัย</t>
  </si>
  <si>
    <t xml:space="preserve">การแลกเปลี่ยนเรียนรู้ประสบการณ์ระหว่างหน่วยงานที่เกี่ยวข้องกับความปลอดภัย </t>
  </si>
  <si>
    <t>จัดทำหลักเกณฑ์และคู่มือ</t>
  </si>
  <si>
    <t xml:space="preserve"> จัดงานฝึกอบรมโดยมีบุคลากรของกรมโรงงานอุตสาหกรรมเข้าร่วมไม่น้อยกว่า 80 คน-วัน (จำนวนคน 40 คน ระยะเวลาครั้งละ 2 วัน)</t>
  </si>
  <si>
    <t>จัดให้ผู้เข้าอบรมเข้าศึกษาระบบทำความเย็นที่ใช้แอมโมเนียเป็นสารทำความเย็น</t>
  </si>
  <si>
    <t xml:space="preserve">จัดงานฝึกอบรมในเขตพื้นที่ กทม. และปริมณฑล โดยมีผู้ที่ปฏิบัติงานเกี่ยวข้องกับระบบทำความเย็นที่ใช้แอมโมเนีย </t>
  </si>
  <si>
    <t>การจัดเตรียมเอกสารรายงาน</t>
  </si>
  <si>
    <t xml:space="preserve">     รายงานขั้นต้น</t>
  </si>
  <si>
    <t xml:space="preserve">     รายงานความก้าวหน้าฉบับกลาง</t>
  </si>
  <si>
    <t xml:space="preserve">     ร่างรายงานฉบับสมบูรณ์</t>
  </si>
  <si>
    <t xml:space="preserve">     รายงานฉบับสมบูรณ์</t>
  </si>
  <si>
    <t xml:space="preserve">     รายงานส่งผู้บริหาร (ภาษาไทย + อังกฤษ)</t>
  </si>
  <si>
    <t xml:space="preserve">     ค่าเช่าห้องประชุม (ทั้งหมด 4 วัน)</t>
  </si>
  <si>
    <t xml:space="preserve">     ค่าวิทยากร (จัดอบรม 2 ครั้ง ผู้เข้าร่วมอบรมครั้งละ 50 คน</t>
  </si>
  <si>
    <t xml:space="preserve">     ค่าอาหาร อาหารว่าง (1 มื้อหลัก, 2 เบรก )</t>
  </si>
  <si>
    <t xml:space="preserve">     ค่าอุปกรณ์ เอกสาร</t>
  </si>
  <si>
    <t xml:space="preserve">     ค่าเดินทาง (ค่าเช่ารถตู้ พร้อมน้ำมันเชื้อเพลิง จำนวน 2 คันต่อครั้ง ครั้งละ 2 วัน)</t>
  </si>
  <si>
    <t xml:space="preserve">     Roll Up</t>
  </si>
  <si>
    <t xml:space="preserve">     เอกสารแผ่นพับ ประชาสัมพันธ์</t>
  </si>
  <si>
    <t xml:space="preserve">1. เพื่อศึกษาแนวปฏิบัติเกี่ยวกับการบริหาร  </t>
  </si>
  <si>
    <t>จัดการวัตถุอันตราย ของผู้ประกอบการที่</t>
  </si>
  <si>
    <t xml:space="preserve"> - ผู้จัดการโครงการ (วุฒิไม่ต่ำกว่าปริญญาโท ในสาขาวิทยาศาสตร์ วิศวกรรมศาสตร์ สิ่งแวดล้อม หรือสาขาอื่น ๆ ที่เกี่ยวข้อง)</t>
  </si>
  <si>
    <t>เข้าข่าย ต้องมีบุคลากรเฉพาะรับผิดชอบ ความปลอดภัย การเก็บรักษาวัตถุอันตราย</t>
  </si>
  <si>
    <t xml:space="preserve"> - ผู้เชี่ยวชาญด้านการบริหารจัดการสารเคมี  </t>
  </si>
  <si>
    <t>2. เพื่อเข้าตรวจสอบและให้คำแนะนำเกี่ยวกับ</t>
  </si>
  <si>
    <t xml:space="preserve"> - นักวิทยาศาสตร์ (เคมี)</t>
  </si>
  <si>
    <t>การจัดเก็บวัตถุอันตรายในสถานที่จัดเก็บ</t>
  </si>
  <si>
    <t>วัตถุอันตราย</t>
  </si>
  <si>
    <t xml:space="preserve"> - เจ้าหน้าที่บันทึกข้อมูล</t>
  </si>
  <si>
    <t xml:space="preserve">3. เพื่อจัดกลุ่มสถานที่จัดเก็บวัตถุอันตราย </t>
  </si>
  <si>
    <t>โดยแบ่งเป็นประเภทดีมาก ดี พอใช้</t>
  </si>
  <si>
    <t xml:space="preserve">4. นำผลการจัดกลุ่มมาประเมินผลรวม </t>
  </si>
  <si>
    <t xml:space="preserve">(1.3.1) ศึกษาแนวปฏิบัติเกี่ยวกับการบริหารจัดการวัตถุอันตรายของผู้ประกอบการที่เข้าข่ายต้องมีบุคลากรเฉพาะฯ </t>
  </si>
  <si>
    <t>และวิเคราะห์ทางสถิติ เพื่อสรุปจำนวนสถานที่</t>
  </si>
  <si>
    <t>(1.3.2) ตรวจสอบและให้คำแนะนำเกี่ยวกับการจัดเก็บวัตถุอันตรายในสถานที่จัดเก็บวัตถุอันตรายที่เข้าข่ายต้องมีบุคลากรเฉพาะฯ ไม่น้อยกว่า 500 แห่ง</t>
  </si>
  <si>
    <t>5. จัดทำคู่มือการตรวจสถานที่จัดเก็บ</t>
  </si>
  <si>
    <t xml:space="preserve">วัตถุอันตราย จัดอบรมการจัดเก็บวัตถุอันตราย </t>
  </si>
  <si>
    <t>รวมทั้งการทำรายงานความปลอดภัย</t>
  </si>
  <si>
    <t>(1.3.3) ค่าจัดทำรายละเอียดสถานที่เก็บรักษาวัตถุอันตราย พร้อมแผนที่ระบุพิกัดภูมิศาสตร์จุดจัดเก็บวัตถุอันตรายด้วยระบบดิจิตัล</t>
  </si>
  <si>
    <t>ประเภทพอใช้ เพื่อยกระดับของสถานที่</t>
  </si>
  <si>
    <t>(1.3.4) วิเคราะห์ ประเมินผล การตรวจสอบที่เก็บรักษาวัตถุอันตรายเพื่อจัดกลุ่ม โดยแบ่งเป็นประเภทดีมาก ดี พอใช้</t>
  </si>
  <si>
    <t xml:space="preserve">จัดเก็บวัตถุอันตรายให้สูงขึ้น </t>
  </si>
  <si>
    <t>(1.3.5) จัดทำคู่มือการตรวจสถานที่จัดเก็บวัตถุอันตรายสำหรับเจ้าหน้าที่ในการเข้าตรวจสอบสถานที่เก็บวัตถุอันตราย ไม่น้อยกว่า 300 เล่ม (300 เล่ม x 100 บาท)</t>
  </si>
  <si>
    <t>(1.3.6) จัดอบรมคู่มือการตรวจสถานที่เก็บวัตถุอันตราย สำหรับเจ้าหน้าที่ไม่น้อยกว่า 50 คน</t>
  </si>
  <si>
    <t>- ค่าอาหารกลางวัน 1 มื้อ</t>
  </si>
  <si>
    <t>- ค่าอาหารว่างและเครื่องดื่ม 2 มื้อ</t>
  </si>
  <si>
    <t>- ค่าจัดทำเอกสารอบรม (70 บาท/ชุด x 50 คน)</t>
  </si>
  <si>
    <t xml:space="preserve">(1.3.7) จัดอบรมการจัดเก็บวัตถุอันตราย รวมทั้งการทำรายงานความปลอดภัยฯ ให้แก่สถานประกอบการวัตถุอันตราย และบุคลากรเฉพาะฯ 2 ครั้ง ๆ ละไม่น้อยกว่า 500 คน </t>
  </si>
  <si>
    <t>- ค่าอาหาร อาหารว่างและเครื่องดื่ม (600 บาท x 500 คน x 1 วัน x 2 ครั้ง)</t>
  </si>
  <si>
    <t>1. สถานที่จัดเก็บวัตถุอันตรายมีมาตรฐานการ</t>
  </si>
  <si>
    <t>- ค่าจัดทำเอกสารอบรม (70 บาท/ชุด x 1,000 ชุด)</t>
  </si>
  <si>
    <t>จัดเก็บวัตถุอันตรายอย่างถูกต้องเหมาะสม</t>
  </si>
  <si>
    <t>(1.3.8) จัดทำสื่อการเรียนรู้ในรูปแบบของสื่ออิเล็กทรอนิกส์ (E-Learning) 2 เรื่อง</t>
  </si>
  <si>
    <t>มากขึ้น</t>
  </si>
  <si>
    <t>(1.3.9) ค่าจัดทำรายงาน</t>
  </si>
  <si>
    <t>2. สถานที่เก็บรักษาวัตถุอันตรายได้รับการจัด</t>
  </si>
  <si>
    <t>- รายงานฉบับที่ 1</t>
  </si>
  <si>
    <t>ประเภทดีมาก ดี พอใช้ เพื่อเป็นข้อมูลให้</t>
  </si>
  <si>
    <t>- รายงานฉบับที่ 2</t>
  </si>
  <si>
    <t>เจ้าหน้าที่สามารถกำกับดูแลได้อย่างเหมาะสม</t>
  </si>
  <si>
    <t>- รายงานฉบับที่ 3</t>
  </si>
  <si>
    <t xml:space="preserve">3. ข้อมูลสถานที่เก็บรักษาวัตถุอันตราย </t>
  </si>
  <si>
    <t>- รายงานฉบับสมบูรณ์ และบทสรุปผู้บริหาร</t>
  </si>
  <si>
    <t>รายละเอียดวัตถุอันตรายที่จัดเก็บ พร้อมแผนที่</t>
  </si>
  <si>
    <t>ระบุพิกัดภูมิศาสตร์ จุดจัดเก็บวัตถุอันตราย</t>
  </si>
  <si>
    <t xml:space="preserve">(1.4.1) ตรวจกำกับสถานประกอบการเกี่ยวกับการผลิต นำเข้า ส่งออก และมีไว้ครอบครองซึ่งวัตถุอันตราย และแท็งก์ติดตรึงกับตัวรถ </t>
  </si>
  <si>
    <t>ด้วยระบบดิจิตัล</t>
  </si>
  <si>
    <t xml:space="preserve">- ค่าเบี้ยเลี้ยงเจ้าหน้าที่ (5 คน x 240 บาท/คน/วัน x 84 วัน) </t>
  </si>
  <si>
    <t xml:space="preserve">4. สถานที่จัดเก็บวัตถุอันตรายประเภทพอใช้ </t>
  </si>
  <si>
    <t>- ค่าเบี้ยเลี้ยงพนักงานขับรถ (2 คน x 240 บาท/คน/วัน x 84 วัน)</t>
  </si>
  <si>
    <t>ปรับปรุงสถานที่จัดเก็บจนสามารถยกระดับ</t>
  </si>
  <si>
    <t xml:space="preserve">- ค่าที่พักเจ้าหน้าที่  (5 คน x 800 บาท/คน/วัน x 42 คืน) </t>
  </si>
  <si>
    <t>ให้สูงขึ้น</t>
  </si>
  <si>
    <t xml:space="preserve">- ค่าที่พักพนักงานขับรถ (2 คน x 800 บาท/คน/วัน x 42 คืน) </t>
  </si>
  <si>
    <t>5. สื่อการเรียนรู้ในรูปแบบของสื่อ</t>
  </si>
  <si>
    <t xml:space="preserve">- ค่าน้ำมันเชื้อเพลิง 120 กม./วัน/10 กม./1 ลิตร = 12 ลิตร/วัน/25 บาท = 300 บาท/วัน 84 วัน </t>
  </si>
  <si>
    <t>อิเล็กทรอนิกส์ (E-Learning)</t>
  </si>
  <si>
    <t>- ค่าแท็กซี่ 7 คน x 250 บาท x 2 เที่ยว x 12 ครั้ง</t>
  </si>
  <si>
    <t xml:space="preserve"> ไม่น้อยกว่า 2 เรื่อง</t>
  </si>
  <si>
    <t xml:space="preserve">(1.4.2) พัฒนาทักษะความรู้ด้านการบริหารจัดการ
วัตถุอันตรายและกฎหมายให้กับเจ้าหน้าที่ผู้กำกับดูแลวัตถุอันตราย อบรม 60 คน ระยะเวลา 2 วัน 
มีค่าใช้จ่าย ดังนี้  
</t>
  </si>
  <si>
    <t xml:space="preserve">- ค่าอาหาร และค่าอาหารว่าง เครื่องดื่ม (600 บาท x 2 วัน x 60 คน)    </t>
  </si>
  <si>
    <t xml:space="preserve">- ค่าที่พัก (1,200 บาท/คืน x 30 ห้อง)  </t>
  </si>
  <si>
    <t xml:space="preserve">- ค่าพาหนะ (13,400 บาท x 2 วัน) </t>
  </si>
  <si>
    <t>- ค่าห้องประชุมและอุปกรณ์ (7000 บาท x 2 วัน)</t>
  </si>
  <si>
    <t xml:space="preserve">- ค่าวิทยากร (ภายใน) (600 บาท x 5 ช.ม.) </t>
  </si>
  <si>
    <t xml:space="preserve">- ค่าวิทยากร (ภายนอก) 
(1,200 บาท x 5 คน x 5 ช.ม.)
</t>
  </si>
  <si>
    <t>(1.5) ค่าใช้จ่ายเบ็ดเตล็ด</t>
  </si>
  <si>
    <t>รายการ : ค่าใช้จ่ายในการบริหารจัดการด้านสิ่งแวดล้อมและความปลอดภัย</t>
  </si>
  <si>
    <t>4.4.1 โครงการจัดทำมาตรฐานการเก็บรักษาวัตถุอันตราย เพื่อยกระดับสถานที่เก็บรักษาวัตถุอันตราย</t>
  </si>
  <si>
    <t>รายการ : ค่าใช้จ่ายในการบริหารจัดการสารเคมี และวัตถุอันตราย ภาคอุตสาหกรรม</t>
  </si>
  <si>
    <t xml:space="preserve"> - ผู้จัดการโครงการ (วุฒิไม่ต่ำกว่าปริญญาโท ในสาขาวิทยาศาสตร์ วิศวกรรมศาสตร์ เคมี สิ่งแวดล้อมพิษวิทยา อาชีวอนามัย สุขศาสตร์อุตสาหกรรม หรือสาขาอื่นๆ ที่เกี่ยวข้อง)</t>
  </si>
  <si>
    <t xml:space="preserve">วิศวกรรม/
วิทยาศาสตร์
</t>
  </si>
  <si>
    <t xml:space="preserve"> - ผู้เชี่ยวชาญด้านการจัดการสารเคมี/พิษวิทยา/ประเมินความเสี่ยง</t>
  </si>
  <si>
    <t>2. จัดทำคู่มือการประเมินการได้รับสัมผัส</t>
  </si>
  <si>
    <t xml:space="preserve"> - นักวิทยาศาสตร์</t>
  </si>
  <si>
    <t xml:space="preserve">สารเคมี  (Exposure Assessment) </t>
  </si>
  <si>
    <t xml:space="preserve"> - นักคอมพิวเตอร์</t>
  </si>
  <si>
    <t xml:space="preserve">3. จัดทำโปรแกรมแบบรายงานการประเมิน
</t>
  </si>
  <si>
    <t>การได้รับสัมผัส (Exposure Assessment)</t>
  </si>
  <si>
    <t xml:space="preserve"> - เจ้าหน้าที่เก็บข้อมูลภาคสนาม ประสบการณ์ 5 ปีขึ้นไป</t>
  </si>
  <si>
    <t>สารเคมีทาง ระบบอิเล็กทรอนิกส์</t>
  </si>
  <si>
    <t xml:space="preserve"> (1.3.1) กิจกรรมการชี้แจงให้ข้อมูลรายละเอียดโครงการแก่ผู้ประกอบการกลุ่มเป้าหมาย</t>
  </si>
  <si>
    <t xml:space="preserve"> มีข้อมูลความเป็นอันตรายสารเคมีและมีการ
</t>
  </si>
  <si>
    <t xml:space="preserve"> (1.3.1.1) การชี้แจงให้ข้อมูลรายละเอียดโครงการแก่ผู้ประกอบการกลุ่มเป้าหมาย ไม่ต่ำกว่า 200 คน</t>
  </si>
  <si>
    <t>ควบคุมสารเคมีตามกฎหมายว่าด้วย</t>
  </si>
  <si>
    <t xml:space="preserve"> - ค่าสถานที่จัดประชุม (10,000 บาท x 1 ครั้ง)</t>
  </si>
  <si>
    <t xml:space="preserve"> วัตถุอันตรายที่ทำให้เกิดความปลอดภัย</t>
  </si>
  <si>
    <t xml:space="preserve"> - ค่าอาหารว่าง 2 มื้อ (100 บาท x 200 คน x 1 ครั้ง)</t>
  </si>
  <si>
    <t>ต่อประชาชน</t>
  </si>
  <si>
    <t xml:space="preserve"> - ค่าอาหารกลางวัน (500 บาท x 200 คน x 1 ครั้ง)</t>
  </si>
  <si>
    <t xml:space="preserve"> - ค่าจัดเตรียมเอกสารประกอบการประชุม
(70 บาท x 200 ชุด)
</t>
  </si>
  <si>
    <t xml:space="preserve"> (1.3.1.2) ประชุมกลุ่มย่อยผู้ประกอบการ ผู้นำเข้าสารเคมี ผู้ผลิตสารเคมี ผู้ครอบครองและใช้สารเคมี </t>
  </si>
  <si>
    <t xml:space="preserve"> - ค่าสถานที่ (10,000 บาท x 2 ครั้ง) </t>
  </si>
  <si>
    <t xml:space="preserve"> - ค่าอาหารว่าง 2 มื้อ (100 บาท x 25 คน x 2 ครั้ง)</t>
  </si>
  <si>
    <t xml:space="preserve"> - ค่าอาหารกลางวัน (500 บาท x 25 คน x 2 ครั้ง)</t>
  </si>
  <si>
    <t xml:space="preserve"> - ค่าจัดเตรียมเอกสารประกอบการประชุม
 (70 บาท x 50 ชุด)
</t>
  </si>
  <si>
    <t xml:space="preserve"> (1.3.1.3) อบรมเจ้าหน้าที่ กรอ. เรื่องการประเมินการได้รับสัมผัสสารเคมีและแบบจำลอง </t>
  </si>
  <si>
    <t xml:space="preserve"> - ค่าอาหารว่าง 2 มื้อ (มื้อละ 50 บาท x 2 มื้อ x 
20 คน x 1 ครั้ง)
</t>
  </si>
  <si>
    <t xml:space="preserve"> - ค่าอาหารกลางวัน (500 บาท x 20 คน x 1 ครั้ง)</t>
  </si>
  <si>
    <t xml:space="preserve"> - ค่าจัดเตรียมเอกสารประกอบการประชุม 
(70 บาท x 20 ชุด)
</t>
  </si>
  <si>
    <t xml:space="preserve"> (1.3.2) กิจกรรมลงพื้นที่สำรวจเก็บข้อมูล ผู้ประกอบการกลุ่มเป้าหมาย ได้แก่ ผู้ครอบครอง ผลิต หรือใช้สารเคมีวัตถุอันตราย</t>
  </si>
  <si>
    <t xml:space="preserve"> - ค่าเบี้ยลี้ยง (4 คน x 240 บาท x 60 วัน)</t>
  </si>
  <si>
    <t xml:space="preserve"> - ค่าที่พัก (1,200 บาท x 4 คน x 30 คืน)</t>
  </si>
  <si>
    <t xml:space="preserve"> - ค่าพาหนะ (รถตู้รวมค่าน้ำมัน)</t>
  </si>
  <si>
    <t xml:space="preserve"> (1.3.3) กิจกรรมปรับปรุงระบบฐานข้อมูลทำเนียบสารเคมี</t>
  </si>
  <si>
    <t xml:space="preserve"> (1.3.4) กิจกรรมการจัดทำโปรแกรมแบบรายงาน</t>
  </si>
  <si>
    <t xml:space="preserve"> (1.3.5) คู่มือ+ CD</t>
  </si>
  <si>
    <t xml:space="preserve"> (1.3.6) ค่าจัดทำรายงาน</t>
  </si>
  <si>
    <t xml:space="preserve"> - รายงาน ฉบับที่ 1</t>
  </si>
  <si>
    <t xml:space="preserve"> - รายงาน ฉบับที่ 2</t>
  </si>
  <si>
    <t xml:space="preserve"> - รายงาน ฉบับที่ 3</t>
  </si>
  <si>
    <t xml:space="preserve"> - รายงาน ฉบับที่ 4 และบทสรุป</t>
  </si>
  <si>
    <t xml:space="preserve"> (1.4) ค่าใช้จ่ายที่ดำเนินการเอง</t>
  </si>
  <si>
    <t xml:space="preserve"> (1.4.1) กิจกรรมการถ่ายทอดเทคโนโลยีการประเมินการได้รับสัมผัสให้แก่ผู้ประกอบการ ผู้นำเข้า ผู้ครอบครอง ผลิต หรือใช้สารเคมีวัตถุอันตราย</t>
  </si>
  <si>
    <t xml:space="preserve"> - ค่าเบี้ยเลี้ยงเจ้าหน้าที่ (5 คน x 240 บาทx 60 วัน) </t>
  </si>
  <si>
    <t xml:space="preserve"> - ค่าที่พักเจ้าหน้าที่ (5 คน x 1,000 บาท x 30 คืน) </t>
  </si>
  <si>
    <t xml:space="preserve"> - ค่าพาหนะ (แท็กซี่) (5 คน x 400 บาท  x 24 ครั้ง) </t>
  </si>
  <si>
    <t xml:space="preserve"> - ค่าพาหนะ (รถตู้รวมค่าน้ำมัน) (2,500 บาท x 60 วัน) </t>
  </si>
  <si>
    <t xml:space="preserve"> - ค่าใช้จ่ายเบ็ดเตล็ด</t>
  </si>
  <si>
    <t>5. ค่าใช้จ่ายในการจ้างที่ปรึกษาชาวไทยและชาวต่างประเทศปีงบประมาณ พ.ศ. 2562</t>
  </si>
  <si>
    <t xml:space="preserve">1. ทบทวนรายชื่อสารเคมีที่ควรเฝ้าระวัง และวัตถุอันตรายที่ควรปรับปรุงการควบคุมโดยทำการคัดกรองแล้วประเมินอันตรายต่อสุขภาพมนุษย์ (Hazard Assessment Value) สารเคมี จำนวน 500 รายการ 
</t>
  </si>
  <si>
    <t>รวมเงิน</t>
  </si>
  <si>
    <t>.</t>
  </si>
  <si>
    <t>ผู้จัดการโครงการ (วุฒิไม่ต่ำกว่าปริญญาโท ในสาขาวิทยาศาสตร์ วิศวกรรมศาสตร์ สิ่งแวดล้อม หรือสาขาอื่น ๆ ที่เกี่ยวข้อง)</t>
  </si>
  <si>
    <t>ผู้เชี่ยวชาญด้านวิศวกรรม</t>
  </si>
  <si>
    <t>ผู้เชี่ยวชาญด้านการวางนโยบายและกฎระเบียบ</t>
  </si>
  <si>
    <t>ผู้เชี่ยวชาญด้านการจัดการสิ่งแวดล้อม</t>
  </si>
  <si>
    <t>ผู้เชี่ยวชาญด้านสังคม</t>
  </si>
  <si>
    <t>ผู้เชี่ยวชาญด้านอุตสาหกรรม</t>
  </si>
  <si>
    <t>ผู้เชี่ยวชาญด้านเศรษฐศาสตร์</t>
  </si>
  <si>
    <t>วิศวกร</t>
  </si>
  <si>
    <t xml:space="preserve">เจ้าหน้าที่เก็บข้อมูลภาคสนาม ประสบการณ์ 5 ปีขึ้นไป </t>
  </si>
  <si>
    <t>เจ้าหน้าที่บันทึกข้อมูล</t>
  </si>
  <si>
    <t xml:space="preserve">(1.3.1) กิจกรรมเปิดตัวโครงการ จำนวน 1 ครั้ง </t>
  </si>
  <si>
    <t xml:space="preserve">ค่าสถานที่จัดประชุม (10,000 x 1 ครั้ง) </t>
  </si>
  <si>
    <t>ค่าจัดเตรียมเอกสารประกอบการประชุม (70 บาท x 150 ชุด)</t>
  </si>
  <si>
    <t xml:space="preserve">ค่าวิทยากร ( 1200 บาท x 7 ชั่วโมง x 2 คน) </t>
  </si>
  <si>
    <t xml:space="preserve">ค่าเบี้ยเลี้ยงเจ้าหน้าที่  (240 บาท x 10 คน x1 วัน) </t>
  </si>
  <si>
    <t xml:space="preserve">ค่าอาหารว่าง 2 มื้อ (มื้อละ 50 บาท x 2 มื้อ x 150 คน) </t>
  </si>
  <si>
    <t xml:space="preserve">ค่าอาหารกลางวัน (550 บาทx 150 คน) </t>
  </si>
  <si>
    <t>(1.3.2) กิจกรรมการจัดทำฐานข้อมูลพื้นที่ โดยการลงพื้นที่สำรวจ ศึกษาข้อมูล รวบรวมข้อมูล (6 ครั้ง/พื้นที่)</t>
  </si>
  <si>
    <t xml:space="preserve">ค่าใช้จ่ายด้านเอกสาร </t>
  </si>
  <si>
    <t xml:space="preserve">ค่าพาหนะ (รถตู้รวมค่าน้ำมัน) (1 คัน x 10 พื้นที่ x 12 วัน ) </t>
  </si>
  <si>
    <t>ค่าเบี้ยเลี้ยง (จำนวน 6 คนx วันละ 240 บาท x 24 วัน x 10 พื้นที่)</t>
  </si>
  <si>
    <t>ค่าที่พัก (1,000 บาท x 3 ห้อง x 12 คืนx 10 พื้นที่)</t>
  </si>
  <si>
    <t>ค่าใช้จ่ายอื่นๆ (10,000/พื่นที่)</t>
  </si>
  <si>
    <t>แผนที่ฐาน 10 จังหวัด (Base Map)</t>
  </si>
  <si>
    <t>(1.3.4) กิจกรรมจัดการประชุมรับฟังความคิดเห็น (10 พื้นที่ x 1 ครั้ง)</t>
  </si>
  <si>
    <t xml:space="preserve">ค่าสถานที่จัดประชุม (10,000x 10 พื้นที่ x 1 ครั้ง) </t>
  </si>
  <si>
    <t>ค่าจัดเตรียมเอกสารประกอบการประชุม (70 บาท x 1000 ชุด)</t>
  </si>
  <si>
    <t xml:space="preserve">ค่าพาหนะ (รถตู้รวมค่าน้ำมัน) (2 คันx10 พื้นที่ x 2 วัน) </t>
  </si>
  <si>
    <t xml:space="preserve">ค่าวิทยากร ( 1200 บาท x 7 ชั่วโมง x 2 คนx10 พื้นที่) </t>
  </si>
  <si>
    <t xml:space="preserve">ค่าที่พักวิทยากร (1,200 บาท x 2 ห้อง  x10 พื้นที่ x 1 คืน) </t>
  </si>
  <si>
    <t xml:space="preserve">ค่าเบี้ยเลี้ยงเจ้าหน้าที่  (240 บาท x 10 คน x10 พื้นที่ x 2 วัน) </t>
  </si>
  <si>
    <t xml:space="preserve">ค่าอาหารว่าง 2 มื้อ (มื้อละ 50 บาท x 2 มื้อ x 1000 คน) </t>
  </si>
  <si>
    <t xml:space="preserve">ค่าอาหารกลางวัน (550 บาทx 1000 คน) </t>
  </si>
  <si>
    <t xml:space="preserve">ค่าที่พัก (1,000 บาท x 5 ห้อง x 2 คืน x10 พื้นที่) </t>
  </si>
  <si>
    <t>ค่าใช้จ่ายอื่นๆ (10,000/พื้นที่)</t>
  </si>
  <si>
    <t xml:space="preserve">(1.3.5) ถ่ายทอดและเผยแพร่แผนพัฒนาพื้นที่ (1 ครั้ง 10 พื้นที่) </t>
  </si>
  <si>
    <t xml:space="preserve">ค่าเบี้ยเลี้ยงเจ้าหน้าที่  (240 บาท x 10คน x12 พื้นที่ x 2 วัน) </t>
  </si>
  <si>
    <t xml:space="preserve">ค่าที่พัก (1,000 บาท x 5 ห้อง x 2 คืน x12 พื้นที่) </t>
  </si>
  <si>
    <t>ค่าแผ่นพับประชาสัมพันธ์ (3,000 แผ่น)</t>
  </si>
  <si>
    <t>ค่าเอกสารประกอบการสัมมนาประชาสัมพันธ์ (700 ชุด)</t>
  </si>
  <si>
    <t>โปสเตอร์ประชาสัมพันธ์ ขนาด A2 พิมพ์ 4 สี (600 ชุด)</t>
  </si>
  <si>
    <t>แผ่นป้ายแบนเนอร์ ขนาด 1.2x2.4 เมตร</t>
  </si>
  <si>
    <t>วิดีทัศน์สรุปโครงการฯ (ความยาวไม่น้อยกว่า 4 นาที)</t>
  </si>
  <si>
    <t>500</t>
  </si>
  <si>
    <t xml:space="preserve">รายงานฉบับที่ 2 </t>
  </si>
  <si>
    <t xml:space="preserve">รายงานฉบับที่ 3 </t>
  </si>
  <si>
    <t xml:space="preserve">รายงานฉบับที่ 4 </t>
  </si>
  <si>
    <t>1) รายงานฉบับสมบูรณ์ ภาษาไทย พร้อม CD-Rom (800 บาท x 11 ฉบับ )</t>
  </si>
  <si>
    <t>2) รายงานสรุปสำหรับผู้บริหารภาษาไทย (400 บาท x 11 ฉบับ )</t>
  </si>
  <si>
    <t>3) รายงานสรุปสำหรับผู้บริหารภาษาอังกฤษ (800 บาท x 11 ฉบับ )</t>
  </si>
  <si>
    <t>รายงานสรุปแผนการพัฒนาพื้นที่อุตสาหกรรมรายจังหวัด (40 เล่ม/จังหวัด)</t>
  </si>
  <si>
    <t>4.4.2 โครงการทบทวนการควบคุมวัตถุอันตราย และจัดการข้อมูลสารเคมีในทำเนียบสารเคมีวัตถุอันตราย</t>
  </si>
  <si>
    <t>4.3 โครงการส่งเสริมเทคโนโลยี
ความปลอดภัยแบบองค์รวมเพื่อเป็น Smart Safety Factory</t>
  </si>
  <si>
    <t>รายการ : ค่าใช้จ่ายในการบริหารจัดการมลพิษภาคอุตสาหกรรม</t>
  </si>
  <si>
    <t xml:space="preserve"> - ค่าที่พัก (1,000 บาท x 4 คน x 60 คืน)</t>
  </si>
  <si>
    <t xml:space="preserve"> -  ค่าพาหนะ (รวมค่าน้ำมัน) (2 คัน x 120 วัน x 2,500 บาท)</t>
  </si>
  <si>
    <t xml:space="preserve"> - ค่าเบี้ยเลี้ยง (จำนวน 4 คน x 240 บาท/วัน x 120 วัน)</t>
  </si>
  <si>
    <t xml:space="preserve">- ค่าวิทยากร (600 บาท x 6 ช.ม. X 1 คน) </t>
  </si>
  <si>
    <t>2. เพื่อเพิ่มขีดความสามารถและพัฒนาทักษะองค์ความรู้ของบุคลากรด้านความปลอดภัย</t>
  </si>
  <si>
    <t>3. เพื่อพัฒนา ส่งเสริม มาตรฐาน หลักเกณฑ์ความปลอดภัยของโรงงานอุตสาหกรรมและการปฏิบัติงานของเจ้าหน้าที่</t>
  </si>
  <si>
    <t>1. เพื่อยกระดับมาตรการความปลอดภัยโรงงานเข้าสู่มาตรฐานสากลในโรงงานที่อยู่ใน ๑๐ อุตสาหกรรมเป้าหมาย พื้นที่เศรษฐกิจพิเศษ หรือโครงการระเบียงเขตเศรษฐกิจภาคตะวันออก (Eastern Economic Corridor : EEC)</t>
  </si>
  <si>
    <t>2. บุคลากรผู้ปฏิบัติงานมีความรู้ ความเข้าใจในเรื่องความปลอดภัยด้านต่าง ๆ ทำให้ลดอุบัติเหตุ อุบัติภัย ความสูญเสียและโอกาสในการดำเนินธุรกิจ</t>
  </si>
  <si>
    <t>1. ยกระดับมาตรฐานความปลอดภัยของโรงงานอุตสาหกรรมด้านความปลอดภัยในสภาวะการทำงาน ระบบทำความเย็นที่ใช้แอมโมเนียเป็นสารทำความเย็น สารเคมี ระบบไฟฟ้า การป้องกันอัคคีภัย การประเมินความเสี่ยงและประเมินอายุภาชนะรับแรงดัน รวมถึงการจัดการระบบความปลอดภัยในโรงงาน</t>
  </si>
  <si>
    <t>3. กระทรวงอุตสาหกรรมมีองค์ความรู้ เรื่อง ความปลอดภัยในด้านต่าง ๆ และสามารถนำไปใช้ประโยชน์ในการปฏิบัติงานหรือนำไปถ่ายทอดให้กับผู้ประกอบการอุตสาหกรรมได้</t>
  </si>
  <si>
    <t>4. เจ้าหน้าที่กระทรวงอุตสาหกรรมมีคู่มือ หลักเกณฑ์ แนวทางการพิจารณาอนุญาตและกำกับดูแลโรงงาน</t>
  </si>
  <si>
    <t>2. เพื่อมีแนวทางในการตรวจสอบความถูกต้องของข้อมูลได้อย่างรวดเร็ว</t>
  </si>
  <si>
    <t xml:space="preserve">ผลประโยชน์ที่จะได้รับ </t>
  </si>
  <si>
    <t>1.สามารถสืบค้น ให้และรับบริการข้อมูล และใช้ประโยชน์ข้อมูลได้สะดวกรวดเร็วด้วยข้อมูลที่เป็นปัจจุบันและน่าเชื่อถือ</t>
  </si>
  <si>
    <t>2. ลดภาระในการจัดเก็บข้อมูลเพื่อให้ได้รับความสะดวกในการจัดทำและส่งรายงานด้วยความสะดวกและรวดเร็ว</t>
  </si>
  <si>
    <t xml:space="preserve"> - ผู้จัดการโครงการ ป.เอก ประสบการณ์ 10 ปี ( 60,000 บาท x 7 เดือน)</t>
  </si>
  <si>
    <t>∕</t>
  </si>
  <si>
    <t xml:space="preserve"> - ผู้เชี่ยวชาญด้านติดตามตรวจสอบการปนเปื้อนในดินและน้ำใต้ดิน ป.เอก ประสบการณ์ 7 ปี ( 60,000 บาท x 4 เดือน)
</t>
  </si>
  <si>
    <t xml:space="preserve"> - ผู้เชี่ยวชาญด้านคอมพิวเตอร์ ป.เอก ประสบการณ์ 7 ปี ( 60,000 บาท x 7 เดือน)</t>
  </si>
  <si>
    <t xml:space="preserve">  - นักวิชาการสิ่งแวดล้อม ป.ตรี ประสบการณ์ 3 ปี ( 30,000 บาท x 7 เดือน)</t>
  </si>
  <si>
    <t>สิ่งแวดล้อม</t>
  </si>
  <si>
    <t xml:space="preserve"> - ผู้ประสานงานโครงการ ป.ตรี ประสบการณ์ 3 ปี (1 คน x  30,000 บาท x 9 เดือน)</t>
  </si>
  <si>
    <t xml:space="preserve"> - เจ้าหน้าที่บันทึกข้อมูล ป.ตรี ประสบการณ์ 1 ปี ( 15,000 บาท/ 9 เดือน)</t>
  </si>
  <si>
    <t>1) ค่าจัดทำเอกสาร (300 ชุด x 200 บาท)</t>
  </si>
  <si>
    <t xml:space="preserve">2) ค่าอาหารและเครื่องดื่ม (300 คน x 650 บาท) </t>
  </si>
  <si>
    <t xml:space="preserve">    - ค่ารถ+น้ำมัน (7 วัน)</t>
  </si>
  <si>
    <t xml:space="preserve">     - ค่าที่พัก (2 คน )</t>
  </si>
  <si>
    <t xml:space="preserve">    - ค่าเบี้ยเลี้ยง (2 คน )</t>
  </si>
  <si>
    <t xml:space="preserve">  - ค่าจัดทำ DVD</t>
  </si>
  <si>
    <t xml:space="preserve">  -  ค่าจัดทำแผ่นพับและ x-stand</t>
  </si>
  <si>
    <t xml:space="preserve">วัตถุประสงค์ </t>
  </si>
  <si>
    <t>4.5.4 โครงการการรายงานข้อมูลตามกฎหมายควบคุมการปนเปื้อนในดินและน้ำใต้ดินทางอิเล็กทรอนิกส์</t>
  </si>
  <si>
    <t xml:space="preserve">   นักคอมพิวเตอร์ ป.ตรี ประสบการณ์ 3 ปี ( 30,000 บาท x 7 เดือน)</t>
  </si>
  <si>
    <t xml:space="preserve">(1.3.1)  กิจกรรมการจัดทำฐานข้อมูลพื้นที่ (Baseline Database) และระบบการตรวจสอบคุณภาพดินและน้ำใต้ดิน รวมถึงโปรแกรมเพื่อการจัดการ โดยการลงพื้นที่สำรวจ ศึกษาข้อมูล รวบรวมข้อมูลโครงการ </t>
  </si>
  <si>
    <t xml:space="preserve">(1.3.2)  สัมมนา/รับฟังความคิดเห็น 300 คน </t>
  </si>
  <si>
    <t>(1.3.3) ค่าเดินทางเข้าทดสอบระบบที่โรงงานต้นแบบ 1 แห่ง 3 ครั้ง</t>
  </si>
  <si>
    <t xml:space="preserve">(1.3.4)  ค่าทดสอบระบบและแก้ไขปัญหา ๓ ครั้ง </t>
  </si>
  <si>
    <t>(1.3.5) จัดทำคู่มือการใช้ระบบการรายงานผลการตรวจสอบคุณภาพดินและน้ำใต้ดินผ่านระบบอิเล็กทรอนิกส์</t>
  </si>
  <si>
    <t>(1.3.6)  การเผยแพร่องค์ความรู้ให้แก่ผู้ประกอบการโดยผ่านสื่อต่างๆ เช่น ซีดีรอมข้อมูล / X-Stand /แผ่นพับ</t>
  </si>
  <si>
    <t>5.1.1 โครงการพัฒนาพื้นที่อุตสาหกรรมอย่างมีศักยภาพเพื่อรองรับการลงทุน</t>
  </si>
  <si>
    <t>รายการ : ค่าใช้จ่ายในการจัดทำแผนการใช้ที่ดินเพื่ออุตสาหกรรมตามศักยภาพของพื้นที่</t>
  </si>
  <si>
    <t>กิจกรรม : บริหารจัดการอุตสาหกรรมเป้าหมายและพื้นที่อุตสาหกรรม</t>
  </si>
  <si>
    <t>2. เพื่อจัดทำฐานข้อมูลอุตสาหกรรม ของอุตสาหกรรมในพื้นที่ที่มีศักยภาพ โดยครอบคลุมทุกปัจจัยในการพัฒนาอุตสาหกรรมและพัฒนาเมือง อาทิ ด้านข้อมูลศักยภาพของพื้นที่อุตสาหกรรม ข้อมูลด้านอุปสงค์และอุปทานของระบบสาธารณูปโภค สาธารณูปการ และโครงสร้างพื้นฐาน ทั้งจากภาคอุตสาหกรรมและประชาชน</t>
  </si>
  <si>
    <t>1. เพื่อส่งเสริมการรวมกลุ่มอุตสาหกรรมโดยการกำหนดพื้นที่และจัดทำยุทธศาสตร์การพัฒนาพื้นที่อุตสาหกรรมที่มีศักยภาพ</t>
  </si>
  <si>
    <t xml:space="preserve"> - ผู้จัดการโครงการ ป.โท ประสบการณ์ 15 ปี (1 คน x 70,000 บาท/เดือน x1.76 x  2 เดือน)</t>
  </si>
  <si>
    <t xml:space="preserve"> - ผู้ช่วยผู้จัดการโครงการ ป.โท ประสบการณ์ 10 ปี (1 คน x 60,000 บาท/เดือน x1.76 x  4 เดือน)</t>
  </si>
  <si>
    <t>2. เพื่อฝึกทักษะแก่ผู้ควบคุมประจำหม้อน้ำในการ
สำรวจ ตรวจวัดและค้นหามาตรการประหยัดพลังงาน
ในระบบไอน้ำ</t>
  </si>
  <si>
    <t xml:space="preserve"> - ผู้เชี่ยวชาญด้านเครื่องกลประสบการณ์ 7 ปี (2คน x 45,000 บาท/เดือน x 1.76 x 6 เดือน)</t>
  </si>
  <si>
    <t xml:space="preserve"> - ผู้เชี่ยวชาญด้านการอนุรักษ์พลังงานประสบการณ์ 7 ปี (2คน x 45,000 บาท/เดือน x 1.76 x 6 เดือน)</t>
  </si>
  <si>
    <t xml:space="preserve"> - วิศวกรโครงการหรือช่างเทคนิค ประสบการณ์ 5 ปี (8 คน x 30,000 บาท/เดือน x 1.76 x 6 เดือน)</t>
  </si>
  <si>
    <t xml:space="preserve">3. เพื่อพัฒนาบุคลากรของโรงงานให้สามารถดำเนิน
การประหยัดพลังงานในระบบไอน้ำได้ด้วยตนเอง เช่น การปรับแต่งการเผาไหม้เบื้องต้น </t>
  </si>
  <si>
    <t xml:space="preserve"> - ค่าเบี้ยประชุมผู้ทรงคุณวุฒิ (1,200 บาท x 5 ครั้ง x 10 คน)</t>
  </si>
  <si>
    <t xml:space="preserve"> - ค่าอาหารและอาหารว่าง (600 บาท x 5 ครั้ง x 10 คน)</t>
  </si>
  <si>
    <t xml:space="preserve"> - ค่าสถานที่และอุปกรณ์</t>
  </si>
  <si>
    <t xml:space="preserve"> - ค่าเอกสารประกอบการสัมมนา (100 บาท x 5 ครั้ง x 10 คน)</t>
  </si>
  <si>
    <t>1. ยกระดับการใช้งานหม้อน้ำเพื่อการประหยัด
พลังงาน ส่งเสริมความปลอดภัย และสิ่งแวดล้อม</t>
  </si>
  <si>
    <t>2. พัฒนาองค์ความรู้และทักษะในการสำรวจค้นหา
มาตรการการประหยัดพลังงาน</t>
  </si>
  <si>
    <t xml:space="preserve"> - ค่าพาหนะเจ้าหน้าที่ (ตจว. ค่าเครื่องบิน ไปกลับ 10,000 บาท x 4 ครั้ง x 4 คน)</t>
  </si>
  <si>
    <t xml:space="preserve"> - ค่าที่พักวิทยากร (ตจว.) (1,200 บาท / 4 คืน (รุ่น) x 1 ห้อง)</t>
  </si>
  <si>
    <t>3. โรงงานสามารถดำเนินการประหยัดพลังงาน
ได้ด้วยตนเอง</t>
  </si>
  <si>
    <t xml:space="preserve"> - ค่าที่พักเจ้าหน้าที่ (ตจว.) (1,200 บาท x 4 คืน(รุ่น) x 4 ห้อง )</t>
  </si>
  <si>
    <t xml:space="preserve"> - ค่าเช่าสถานที่และอุปกรณ์โสตฯ (10,000 บาท x 4 วัน(รุ่น) )</t>
  </si>
  <si>
    <t xml:space="preserve"> - ค่าเอกสารประกอบการสัมมนา (70 บาท x 100 คน x 4 ครั้ง )</t>
  </si>
  <si>
    <t xml:space="preserve"> - ค่าอาหารและอาหารว่าง (600 บาท x 200 คน  )</t>
  </si>
  <si>
    <t xml:space="preserve"> - ค่าพาหนะและน้ำมันผู้เชี่ยวชาญ (วันละ 2500 บาท x 3 คัน x 100 วัน (โรงงานละ 2 วัน) </t>
  </si>
  <si>
    <t xml:space="preserve"> - ค่าที่พักผู้เชี่ยวชาญ (ตจว.) (คืนละ1,200 บาท x 4 คน x 100 คืน )</t>
  </si>
  <si>
    <t xml:space="preserve"> - ค่าที่พักผู้ช่วยผู้เชี่ยวชาญ (ตจว.) (คืนละ 1,200 บาท x 8 คน x 100 คืน )</t>
  </si>
  <si>
    <t xml:space="preserve"> - ค่าจัดทำเกณฑ์การคัดเลือก) (10,000 บาท )</t>
  </si>
  <si>
    <t xml:space="preserve"> - ค่าประชุมพิจารณาคัดเลือกแบ่งกลุ่มโรงงานเข้าโครงการ (เบี้ยประชุม 1,200 บาท x 8 คน x 2 ครั้ง )</t>
  </si>
  <si>
    <t>จัดทำหลักสูตรและคู่มือสำหรับการฝึกอบรม</t>
  </si>
  <si>
    <t xml:space="preserve"> - ค่าจ้างออกแบบคู่มือ (5,000 บาท x 1 งาน)</t>
  </si>
  <si>
    <t xml:space="preserve"> - ค่าจัดพิมพ์คู่มือ (1,000 ชุด x ชุดละ 200 บาท)</t>
  </si>
  <si>
    <t>การสำรวจเชิงวิศวกรรม รวม 100 โรงงาน</t>
  </si>
  <si>
    <t>กลุ่ม A (20 โรงงาน)</t>
  </si>
  <si>
    <t xml:space="preserve"> - ค่าการสำรวจ ตรวจวัด วิเคราะห์ผลและประเมินประสิทธิภาพระบบทำความเย็น (100,000 บาทต่อ x 20 โรงงาน)</t>
  </si>
  <si>
    <t xml:space="preserve">    - ดำเนินการสำรวจรายละเอียดเชิงลึกของโรงงาน</t>
  </si>
  <si>
    <t xml:space="preserve">    - ดำเนินการสำรวจ ตรวจวัด</t>
  </si>
  <si>
    <t xml:space="preserve">    - ดำเนินการวิเคราะห์ ติดตามการดำเนินงานตามมาตรการ</t>
  </si>
  <si>
    <t xml:space="preserve">    - ค่าบำรุงรักษาอุปกรณ์ตรวจวัด ค่าสอบเปรียบอุปกรณ์ตรวจวัด </t>
  </si>
  <si>
    <t xml:space="preserve">    - ค่าวัสดุสิ้นเปลือง</t>
  </si>
  <si>
    <t xml:space="preserve"> - ค่าเข้าให้คำแนะนำของผู้เชี่ยวชาญ 3 ครั้ง (10,000 บาทต่อโรงงาน x 20 โรงงาน x 3 ครั้ง)</t>
  </si>
  <si>
    <t>กลุ่ม B (30 โรงงาน)</t>
  </si>
  <si>
    <t xml:space="preserve"> - ค่าเข้าให้คำแนะนำของผู้เชี่ยวชาญ 1 ครั้ง (10,000 บาทต่อโรงงาน x 30 โรงงาน x 1 ครั้ง)</t>
  </si>
  <si>
    <t>กลุ่ม C (50 โรงงาน)</t>
  </si>
  <si>
    <t xml:space="preserve"> - ค่าพาหนะวิทยากร (ตจว. ค่าเครื่องบิน ไปกลับ 5,000 บาท x 1 คน x 1 ครั้ง)</t>
  </si>
  <si>
    <t xml:space="preserve"> - ค่าพาหนะเจ้าหน้าที่ (ตจว. ค่าเครื่องบิน ไปกลับ 5,000 บาท x 4 คน x 1 ครั้ง)</t>
  </si>
  <si>
    <t xml:space="preserve"> - ค่าที่พักวิทยากร (ตจว.) (1,200 บาท x 1 คืน x 1 ครั้ง )</t>
  </si>
  <si>
    <t xml:space="preserve"> - ค่าที่พักเจ้าหน้าที่ (ตจว.) (1,200 บาท x 1 คืน x 4 คน )</t>
  </si>
  <si>
    <t xml:space="preserve"> - ค่าเช่าสถานที่และอุปกรณ์โสตฯ (5,000 บาท x 1 ครั้ง x 2 วัน)</t>
  </si>
  <si>
    <t xml:space="preserve"> - ค่าเอกสารประกอบการสัมมนา (100 บาท x 1 ครั้ง x 50 คน)</t>
  </si>
  <si>
    <t xml:space="preserve"> - ค่าอาหารและอาหารว่าง (600 บาท x 1 ครั้ง x 50 คน)</t>
  </si>
  <si>
    <t>การติตามผลการดำเนินงานและจัดทำงรายงาน</t>
  </si>
  <si>
    <t xml:space="preserve"> - ค่าจัดทำรายงาน (1,000 บาท x 100 โรงงาน )</t>
  </si>
  <si>
    <t>การจัดสัมมนาเผยแพร่การดำเนินโครงการ 200 คน</t>
  </si>
  <si>
    <t xml:space="preserve"> - ค่าอาหารและอาหารว่าง (600 บาท x 1 ครั้ง x 200 คน)</t>
  </si>
  <si>
    <t xml:space="preserve"> - ค่าเอกสารประกอบการสัมมนา (100 บาท x 1 ครั้ง x 200 คน)</t>
  </si>
  <si>
    <t xml:space="preserve"> - ค่าวิทยากร 2 คน (1200 บาทต่อชั่วโมง x 2 คน x 3 ชั่วโมง)</t>
  </si>
  <si>
    <t xml:space="preserve"> - ค่าพาหนะวิทยากร (ตจว. ค่าเครื่องบิน ไปกลับ 10,000 บาท x 4 ครั้ง) </t>
  </si>
  <si>
    <t xml:space="preserve">1. เพื่อพัฒนาผู้ควบคุมประจำหม้อน้ำได้มีความรู้ความเข้าใจในการประหยัดพลังงาน ส่งเสริมความปลอดภัยและรักษาสิ่งแวดล้อม </t>
  </si>
  <si>
    <t>(1.3.1) ค่าจัดทำหลักเกณฑ์และแบบฟอร์มการรายงานผลการใช้พลังงานในระบบไอน้ำ</t>
  </si>
  <si>
    <t>(1.3.2) ค่าจัดอบรมสัมมนาให้คำปรึกษา 4 ครั้ง รวมไม่น้อยกว่า 200 คน-วัน (แบ่งเป็น 4 รุ่น)</t>
  </si>
  <si>
    <t>(1.3.3) ตรวจติดตามประเมินผลการจัดทำรายงาน และคัดเลือกโรงงาน 100 โรงงาน (แบ่งเป็น 4 ทีม)</t>
  </si>
  <si>
    <t>(1.3.9) ดำเนิน แลกเปลี่ยนเรียนรู้ และค้นหาช่องทางการทำงานร่วมกันโดยนำมีผู้แทนจาก 15 จังหวัด โดยจัดกิจกรรมอย่างน้อย 1 ครั้ง 
ครั้งละไม่น้อยกว่า 80 คน โดยมีผู้แทนเครือข่าย Eco Network เข้าร่วมทุกเครือข่าย ระยะเวลาอย่างน้อย 2 วัน</t>
  </si>
  <si>
    <t>แผนงานยุทธศาสตร์ : พัฒนาประสิทธิภาพและมูลค่าเพิ่มของภาคการผลิต บริการ การค้าและการลงทุน</t>
  </si>
  <si>
    <t>(1.3.3) จัดทำข้อมูลที่ศึกษาให้อยู่ในรูปของระบบสารสนเทศภูมิศาสตร์ (Geographic Information System)</t>
  </si>
  <si>
    <t>3. เพื่อจัดทำยุทธศาสตร์การพัฒนาพื้นที่อุตสาหกรรมที่มีศักยภาพโดยเชื่อมโยงกับพื้นที่เศรษฐกิจ โครงข่ายคมนาคม ขนส่งและโครงสร้างพื้นฐานที่มีผลต่อภาคการผลิต การค้า การลงทุน เพื่อให้เกิดการบูรณาการในการใช้พื้นที่</t>
  </si>
  <si>
    <t>1 แผนการพัฒนาพื้นที่ที่มีศักยภาพในการพัฒนาให้เกิดพื้นที่อุตสาหกรรมเป้าหมายที่เหมาะสม</t>
  </si>
  <si>
    <t>2. แผนพัฒนาพื้นที่อุตสาหกรรมสำหรับจังหวัดที่มีศักยภาพในการพัฒนาอุตสาหกรรมรายสาขาเพื่อกำหนดแนวทางการพัฒนาพื้นที่ต่อไป</t>
  </si>
  <si>
    <t xml:space="preserve"> หน่วย : บาท </t>
  </si>
  <si>
    <t xml:space="preserve">หน่วย : บาท </t>
  </si>
  <si>
    <t>(1.3.13) การดำเนินการพัฒนาเว็บไซด์ www.csrdiw.com เพื่อรวบรวมข้อมูลและเผยแพร่กิจกรรมของโครงการรวมถึงกิจกรรมต่างๆ 
ของสมาชิกเครือข่าย</t>
  </si>
  <si>
    <t xml:space="preserve">1. พื้นที่ 15 จังหวัด 18 พื้นที่ได้รับการขับเคลื่อนอย่างเป็นรูปธรรม มุ่งสู่การพัฒนาเข้าสู่ความเป็นเมืองอุตสาหกรรมเชิงนิเวศ ระดับที่ 2 
</t>
  </si>
  <si>
    <t>2. ผู้บริหารและทุกภาคส่วนในพื้นที่ได้รับทราบถึงปัญหาและข้อเสนอแนะข้อแนะนำต่างๆ สามารถใช้เป็นแนวทางในการขับเคลื่อนโครงการในแผนปฏิบัติการภายใต้แผนแม่บทการพัฒนาเมืองอุตสาหกรรมเชิงนิเวศ 15 จังหวัด 18 พื้นที่ ไปสู่การปฏิบัติให้เป็นรูปธรรมและเกิดผล ในปี 2563-2564</t>
  </si>
  <si>
    <t>(1.3.11) จัดทำเอกสารสรุปผลการดำเนินการเพื่อรายงานและประชาสัมพันธ์ผลการดำเนินการพัฒนาเมืองอุตสาหกรรมเชิงนิเวศ ตามตัวชี้วัดและประเมินผลระดับการพัฒนา 5 มิติ 20 ด้าน 41 ตัวชี้วัด 15 จังหวัด จังหวัดละอย่างน้อย 50 เล่ม พร้อมแผ่นข้อมูล
จำนวน 100 ชุด</t>
  </si>
  <si>
    <t>4.2 โครงการยกระดับอุตสาหกรรมเข้าสู่อุตสาหกรรมสีเขียว (Green Industry)</t>
  </si>
  <si>
    <r>
      <rPr>
        <b/>
        <sz val="10"/>
        <rFont val="TH SarabunPSK"/>
        <family val="2"/>
      </rPr>
      <t>ประสบการณ์</t>
    </r>
    <r>
      <rPr>
        <b/>
        <sz val="12"/>
        <rFont val="TH SarabunPSK"/>
        <family val="2"/>
      </rPr>
      <t xml:space="preserve">
(ปี)
</t>
    </r>
  </si>
  <si>
    <t>4.6. โครงการเพิ่มประสิทธิภาพหม้อน้ำในภาคอุตสาหกรรม</t>
  </si>
  <si>
    <t>นา</t>
  </si>
  <si>
    <t xml:space="preserve">ประสบ การณ์
(ปี)
</t>
  </si>
  <si>
    <t>1. เพื่อส่งเสริมการหมุนเวียนของเสีย</t>
  </si>
  <si>
    <t>และลดปริมาณของเสียที่ต้องกำจัด</t>
  </si>
  <si>
    <t>2. ยกระดับการให้บริการและการ</t>
  </si>
  <si>
    <t xml:space="preserve">ประกอบกิจการของเสียให้เป็นมาตรฐาน </t>
  </si>
  <si>
    <t>เกิดการจัดการของเสียอย่างยั่งยืน</t>
  </si>
  <si>
    <t>1.โรงงานที่เข้าร่วมโครงการ ได้รับความรู้</t>
  </si>
  <si>
    <t>ความเข้าใจในการจัดการกากอุตสาหกรรม</t>
  </si>
  <si>
    <t xml:space="preserve">ตามหลัก 3Rs </t>
  </si>
  <si>
    <t>2. โรงงานผู้รับบำบัด/กำจัด ได้รับการ</t>
  </si>
  <si>
    <t>ยกระดับมาตรฐานการจัดการของเสีย</t>
  </si>
  <si>
    <t xml:space="preserve"> เกิดการจัดการอย่างยั่งยืน</t>
  </si>
  <si>
    <t>เพื่อพัฒนาระบบให้รองรับงานด้าน</t>
  </si>
  <si>
    <t>การบริหารจัดการกากอุตสาหกรรม</t>
  </si>
  <si>
    <t>ที่มีจำนวนมากขึ้น และปรับปรุง</t>
  </si>
  <si>
    <t>ประสิทธิภาพการให้บริการได้รวดเร็ว</t>
  </si>
  <si>
    <t>ยิ่งขึ้น เพื่ออำนวยความสะดวก</t>
  </si>
  <si>
    <t>ให้กับผู้ใช้บริการในเรื่องต่างๆ ที่</t>
  </si>
  <si>
    <t>เกี่ยวกับกากอุตสาหกรรมทาง</t>
  </si>
  <si>
    <t>อิเล็กทรอนิกส์ รองรับการกำกับดูแล</t>
  </si>
  <si>
    <t>ของหน่วยงานที่กำกับดูแลและผู้ที่</t>
  </si>
  <si>
    <t>เกี่ยวข้อง</t>
  </si>
  <si>
    <t>เจ้าหน้าที่อนุญาตสามารถตรวจสอบ</t>
  </si>
  <si>
    <t>และกำกับดูแลด้านกากอุตสาหกรรม</t>
  </si>
  <si>
    <t>ได้อย่างมีประสิทธิภาพ โดยสามารถ</t>
  </si>
  <si>
    <t>จัดทำรายงานต่าง ๆ เพื่อสนองความ</t>
  </si>
  <si>
    <t>ต้องการของผู้ใช้งานในแต่ละกลุ่มได้</t>
  </si>
  <si>
    <t>เชื่อมโยงข้อมูลร่วมกับระบบอื่นๆ</t>
  </si>
  <si>
    <t>อย่างเหมาะสม และระบบมีการ</t>
  </si>
  <si>
    <t xml:space="preserve"> - ค่าอาหารว่างและเครื่องดื่ม (50 บาท x 20 คนx 2 มื้อ )</t>
  </si>
  <si>
    <t xml:space="preserve">               คำชี้แจง              (เหตุผลความจำเป็นและ
ผลประโยชน์ที่คาดว่าจะได้รับ)</t>
  </si>
  <si>
    <t>2. เพื่อให้เกิดความร่วมมือกันของผู้ประกอบกิจการโรงงานอุตสาหกรรม ที่ได้รับเกียรติบัตรตามมาตรฐานความรับผิดชอบของผู้ประกอบกิจการโรงงานอุตสาหกรรมต่อสังคมตั้งแต่ปี 2551 – 2561 ในรูปแบบเครือข่าย สำหรับการแลกเปลี่ยนเรียนรู้ ประสบการณ์ ความชำนาญสามารถดำเนินงานด้านความรับผิดชอบต่อสังคม ให้เกิดผลที่เป็นรูปธรรมโดยใช้เวลาและทรัพยากรน้อยที่สุด</t>
  </si>
  <si>
    <t xml:space="preserve">1. เพื่อส่งเสริมการดำเนินงานด้านความรับผิดชอบต่อสังคมและการพัฒนาอย่างยั่งยืน (Sustainable Development) แก่ผู้ประกอบกิจการโรงงานอุตสาหกรรม </t>
  </si>
  <si>
    <t xml:space="preserve">ประสบ  การณ์
(ปี)
</t>
  </si>
  <si>
    <t>1. เพื่อสร้างระบบการรายงานผลการตรวจสอบคุณภาพดินและน้ำใต้ดินผ่านระบบอิเล็กทรอนิกส์</t>
  </si>
  <si>
    <t xml:space="preserve"> - เจ้าหน้าที่ประสานงานโครงการ (1 คน x 15,000 บาท/เดือน x  9 เดือน) </t>
  </si>
  <si>
    <t xml:space="preserve"> - ค่าติดตามประเมิน (5,800 บาท x 100 โรงงาน )</t>
  </si>
  <si>
    <t>5. ค่าใช้จ่ายในการจ้างที่ปรึกษาชาวไทยและชาวต่างประเทศปีงบประมาณ พ.ศ.2562</t>
  </si>
  <si>
    <t>โครงการเร่งรัดการจดทะเบียนเครื่องจักรของวิสาหกิจขนาดกลางและขนาดย่อม</t>
  </si>
  <si>
    <t>รายการ : ค่าใช้จ่ายในการเพิ่มประสิทธิภาพพลังงานในภาคุตสาหกรรม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</si>
</sst>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(* #,##0.0000_);_(* \(#,##0.0000\);_(* &quot;-&quot;??_);_(@_)"/>
    <numFmt numFmtId="193" formatCode="_(* #,##0_);_(* \(#,##0\);_(* &quot;-&quot;??_);_(@_)"/>
    <numFmt numFmtId="194" formatCode="_(* #,##0.00000_);_(* \(#,##0.00000\);_(* &quot;-&quot;??_);_(@_)"/>
    <numFmt numFmtId="195" formatCode="_(* #,##0.0_);_(* \(#,##0.0\);_(* &quot;-&quot;??_);_(@_)"/>
    <numFmt numFmtId="196" formatCode="_(* #,##0.000_);_(* \(#,##0.000\);_(* &quot;-&quot;??_);_(@_)"/>
    <numFmt numFmtId="197" formatCode="0.000000"/>
    <numFmt numFmtId="199" formatCode="_-* #,##0_-;\-* #,##0_-;_-* &quot;-&quot;????_-;_-@_-"/>
    <numFmt numFmtId="200" formatCode="#,##0.0000"/>
  </numFmts>
  <fonts count="10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charset val="22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scheme val="minor"/>
    </font>
    <font>
      <sz val="14"/>
      <name val="Arial"/>
      <family val="2"/>
    </font>
    <font>
      <b/>
      <i/>
      <u val="double"/>
      <sz val="14"/>
      <name val="TH SarabunPSK"/>
      <family val="2"/>
    </font>
    <font>
      <b/>
      <u val="double"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3"/>
      <name val="TH SarabunPSK"/>
      <family val="2"/>
    </font>
    <font>
      <b/>
      <sz val="14"/>
      <color rgb="FF000000"/>
      <name val="TH SarabunPSK"/>
      <family val="2"/>
    </font>
    <font>
      <sz val="12"/>
      <color theme="1"/>
      <name val="Tahoma"/>
      <family val="2"/>
      <scheme val="minor"/>
    </font>
    <font>
      <sz val="14"/>
      <name val="AngsanaUPC"/>
      <family val="1"/>
    </font>
    <font>
      <u/>
      <sz val="12"/>
      <name val="TH SarabunPSK"/>
      <family val="2"/>
    </font>
    <font>
      <b/>
      <u/>
      <sz val="12"/>
      <name val="TH SarabunPSK"/>
      <family val="2"/>
    </font>
    <font>
      <sz val="12"/>
      <name val="Wingdings"/>
      <charset val="2"/>
    </font>
    <font>
      <sz val="12"/>
      <color rgb="FF000000"/>
      <name val="TH SarabunPSK"/>
      <family val="2"/>
    </font>
    <font>
      <b/>
      <sz val="10"/>
      <name val="TH SarabunPSK"/>
      <family val="2"/>
    </font>
    <font>
      <b/>
      <sz val="12"/>
      <color rgb="FF000000"/>
      <name val="TH SarabunPSK"/>
      <family val="2"/>
    </font>
    <font>
      <b/>
      <u val="singleAccounting"/>
      <sz val="14"/>
      <name val="TH SarabunPSK"/>
      <family val="2"/>
    </font>
    <font>
      <sz val="14"/>
      <name val="TH SarabunIT๙"/>
      <family val="2"/>
    </font>
    <font>
      <sz val="12"/>
      <color rgb="FFFFFFFF"/>
      <name val="TH SarabunPSK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color rgb="FFFF0000"/>
      <name val="TH SarabunPSK"/>
      <family val="2"/>
    </font>
    <font>
      <u/>
      <sz val="14"/>
      <name val="TH SarabunPSK"/>
      <family val="2"/>
    </font>
    <font>
      <b/>
      <u/>
      <sz val="14"/>
      <color rgb="FF000000"/>
      <name val="TH SarabunPSK"/>
      <family val="2"/>
    </font>
    <font>
      <b/>
      <u val="double"/>
      <sz val="12"/>
      <name val="TH SarabunPSK"/>
      <family val="2"/>
    </font>
    <font>
      <b/>
      <u/>
      <sz val="13"/>
      <name val="TH SarabunPSK"/>
      <family val="2"/>
    </font>
    <font>
      <sz val="14"/>
      <color theme="0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b/>
      <u/>
      <sz val="14"/>
      <name val="TH SarabunPSK"/>
      <family val="2"/>
      <charset val="222"/>
    </font>
    <font>
      <sz val="14"/>
      <name val="Wingdings"/>
      <charset val="2"/>
    </font>
    <font>
      <sz val="14"/>
      <color rgb="FF000000"/>
      <name val="TH SarabunPSK"/>
      <family val="2"/>
      <charset val="222"/>
    </font>
    <font>
      <b/>
      <sz val="14"/>
      <color rgb="FF000000"/>
      <name val="TH SarabunPSK"/>
      <family val="2"/>
      <charset val="222"/>
    </font>
    <font>
      <b/>
      <u/>
      <sz val="14"/>
      <color rgb="FF000000"/>
      <name val="TH SarabunPSK"/>
      <family val="2"/>
      <charset val="222"/>
    </font>
    <font>
      <sz val="14"/>
      <color rgb="FF000000"/>
      <name val="Wingdings"/>
      <charset val="2"/>
    </font>
    <font>
      <sz val="14"/>
      <color rgb="FF000000"/>
      <name val="TH SarabunIT๙"/>
      <family val="2"/>
      <charset val="222"/>
    </font>
    <font>
      <b/>
      <i/>
      <sz val="14"/>
      <color rgb="FF000000"/>
      <name val="TH SarabunPSK"/>
      <family val="2"/>
      <charset val="222"/>
    </font>
    <font>
      <sz val="12"/>
      <color theme="0"/>
      <name val="TH SarabunPSK"/>
      <family val="2"/>
    </font>
    <font>
      <b/>
      <sz val="12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u val="doubleAccounting"/>
      <sz val="12"/>
      <color theme="1"/>
      <name val="TH SarabunPSK"/>
      <family val="2"/>
    </font>
    <font>
      <sz val="14"/>
      <color theme="1"/>
      <name val="TH SarabunPSK"/>
      <family val="2"/>
      <charset val="222"/>
    </font>
    <font>
      <b/>
      <u val="singleAccounting"/>
      <sz val="14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trike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0"/>
      <name val="Tahoma"/>
      <family val="2"/>
      <charset val="222"/>
      <scheme val="minor"/>
    </font>
    <font>
      <sz val="14"/>
      <color rgb="FFFF0000"/>
      <name val="TH SarabunPSK"/>
      <family val="2"/>
      <charset val="22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theme="0"/>
      <name val="TH SarabunPSK"/>
      <family val="2"/>
      <charset val="222"/>
    </font>
    <font>
      <b/>
      <sz val="12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b/>
      <sz val="12"/>
      <color theme="0"/>
      <name val="TH SarabunPSK"/>
      <family val="2"/>
      <charset val="222"/>
    </font>
    <font>
      <sz val="12"/>
      <name val="TH SarabunPSK"/>
      <family val="2"/>
      <charset val="222"/>
    </font>
    <font>
      <sz val="12"/>
      <color theme="0"/>
      <name val="TH SarabunPSK"/>
      <family val="2"/>
      <charset val="222"/>
    </font>
    <font>
      <sz val="12"/>
      <color rgb="FF000000"/>
      <name val="TH SarabunPSK"/>
      <family val="2"/>
      <charset val="222"/>
    </font>
    <font>
      <b/>
      <sz val="12"/>
      <color rgb="FF000000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b/>
      <sz val="12"/>
      <color rgb="FFFF0000"/>
      <name val="TH SarabunPSK"/>
      <family val="2"/>
    </font>
    <font>
      <b/>
      <i/>
      <sz val="14"/>
      <color rgb="FF000000"/>
      <name val="TH SarabunPSK"/>
      <family val="2"/>
    </font>
    <font>
      <b/>
      <i/>
      <sz val="12"/>
      <name val="TH SarabunPSK"/>
      <family val="2"/>
    </font>
    <font>
      <sz val="12"/>
      <color rgb="FFBFBFBF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2"/>
      <name val="นูลมรผ"/>
      <charset val="129"/>
    </font>
    <font>
      <sz val="12"/>
      <name val="นูลมรผ"/>
    </font>
    <font>
      <b/>
      <sz val="12"/>
      <name val="Arial"/>
      <family val="2"/>
    </font>
    <font>
      <sz val="11"/>
      <color indexed="8"/>
      <name val="Calibri"/>
      <family val="2"/>
      <charset val="222"/>
    </font>
    <font>
      <sz val="12"/>
      <name val="Adobe Fan Heiti Std B"/>
      <family val="2"/>
      <charset val="128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1.5"/>
      <color theme="1"/>
      <name val="TH SarabunPSK"/>
      <family val="2"/>
    </font>
    <font>
      <sz val="13.5"/>
      <color rgb="FF000000"/>
      <name val="TH SarabunPSK"/>
      <family val="2"/>
      <charset val="222"/>
    </font>
    <font>
      <sz val="13"/>
      <color theme="1"/>
      <name val="TH SarabunPSK"/>
      <family val="2"/>
    </font>
    <font>
      <b/>
      <sz val="13"/>
      <name val="TH SarabunPSK"/>
      <family val="2"/>
      <charset val="222"/>
    </font>
    <font>
      <sz val="11"/>
      <name val="Tahoma"/>
      <family val="2"/>
      <charset val="22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20" fillId="0" borderId="0"/>
    <xf numFmtId="43" fontId="2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25" fillId="0" borderId="0"/>
    <xf numFmtId="0" fontId="20" fillId="0" borderId="0"/>
    <xf numFmtId="0" fontId="25" fillId="0" borderId="0"/>
    <xf numFmtId="187" fontId="37" fillId="0" borderId="0" applyFont="0" applyFill="0" applyBorder="0" applyAlignment="0" applyProtection="0"/>
    <xf numFmtId="0" fontId="20" fillId="0" borderId="0"/>
    <xf numFmtId="0" fontId="38" fillId="0" borderId="0"/>
    <xf numFmtId="43" fontId="21" fillId="0" borderId="0" applyFont="0" applyFill="0" applyBorder="0" applyAlignment="0" applyProtection="0"/>
    <xf numFmtId="0" fontId="87" fillId="0" borderId="0"/>
    <xf numFmtId="9" fontId="37" fillId="0" borderId="0"/>
    <xf numFmtId="0" fontId="92" fillId="0" borderId="23" applyNumberFormat="0" applyAlignment="0" applyProtection="0">
      <alignment horizontal="left" vertical="center"/>
    </xf>
    <xf numFmtId="0" fontId="92" fillId="0" borderId="5">
      <alignment horizontal="left" vertical="center"/>
    </xf>
    <xf numFmtId="9" fontId="90" fillId="0" borderId="0" applyFont="0" applyFill="0" applyBorder="0" applyAlignment="0" applyProtection="0"/>
    <xf numFmtId="0" fontId="93" fillId="0" borderId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0" fillId="0" borderId="0"/>
    <xf numFmtId="43" fontId="25" fillId="0" borderId="0" applyFont="0" applyFill="0" applyBorder="0" applyAlignment="0" applyProtection="0"/>
    <xf numFmtId="0" fontId="20" fillId="0" borderId="0"/>
    <xf numFmtId="43" fontId="38" fillId="0" borderId="0" applyFont="0" applyFill="0" applyBorder="0" applyAlignment="0" applyProtection="0"/>
  </cellStyleXfs>
  <cellXfs count="1839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88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188" fontId="4" fillId="0" borderId="7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5" fillId="0" borderId="7" xfId="0" applyFont="1" applyFill="1" applyBorder="1" applyAlignment="1">
      <alignment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3" fontId="15" fillId="0" borderId="7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188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Fill="1" applyBorder="1" applyAlignment="1">
      <alignment horizontal="right" vertical="top" wrapText="1"/>
    </xf>
    <xf numFmtId="3" fontId="15" fillId="0" borderId="7" xfId="0" applyNumberFormat="1" applyFont="1" applyFill="1" applyBorder="1" applyAlignment="1">
      <alignment horizontal="right" vertical="top" wrapText="1"/>
    </xf>
    <xf numFmtId="3" fontId="15" fillId="0" borderId="7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right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vertical="top" wrapText="1"/>
    </xf>
    <xf numFmtId="0" fontId="15" fillId="0" borderId="7" xfId="0" quotePrefix="1" applyFont="1" applyFill="1" applyBorder="1" applyAlignment="1">
      <alignment horizontal="left" vertical="top" wrapText="1" indent="1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/>
    </xf>
    <xf numFmtId="0" fontId="15" fillId="0" borderId="7" xfId="1" applyFont="1" applyFill="1" applyBorder="1"/>
    <xf numFmtId="0" fontId="15" fillId="0" borderId="7" xfId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center"/>
    </xf>
    <xf numFmtId="0" fontId="16" fillId="0" borderId="0" xfId="1" applyFont="1"/>
    <xf numFmtId="0" fontId="17" fillId="0" borderId="0" xfId="0" applyFont="1" applyFill="1" applyBorder="1" applyAlignment="1">
      <alignment vertical="top"/>
    </xf>
    <xf numFmtId="0" fontId="15" fillId="0" borderId="7" xfId="0" applyFont="1" applyFill="1" applyBorder="1" applyAlignment="1">
      <alignment horizontal="left" vertical="top" wrapText="1" indent="1"/>
    </xf>
    <xf numFmtId="0" fontId="15" fillId="0" borderId="7" xfId="1" applyFont="1" applyBorder="1" applyAlignment="1">
      <alignment horizontal="left" vertical="top" wrapText="1" indent="1"/>
    </xf>
    <xf numFmtId="3" fontId="18" fillId="0" borderId="7" xfId="0" applyNumberFormat="1" applyFont="1" applyFill="1" applyBorder="1" applyAlignment="1">
      <alignment horizontal="right" vertical="top" wrapText="1"/>
    </xf>
    <xf numFmtId="3" fontId="19" fillId="0" borderId="7" xfId="0" applyNumberFormat="1" applyFont="1" applyFill="1" applyBorder="1" applyAlignment="1">
      <alignment horizontal="right" vertical="top" wrapText="1"/>
    </xf>
    <xf numFmtId="0" fontId="19" fillId="0" borderId="7" xfId="1" applyFont="1" applyBorder="1" applyAlignment="1">
      <alignment vertical="top" wrapText="1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4" fillId="0" borderId="7" xfId="1" applyFont="1" applyFill="1" applyBorder="1"/>
    <xf numFmtId="0" fontId="4" fillId="0" borderId="7" xfId="1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0" fontId="4" fillId="0" borderId="7" xfId="1" applyFont="1" applyBorder="1"/>
    <xf numFmtId="0" fontId="24" fillId="0" borderId="0" xfId="1" applyFont="1"/>
    <xf numFmtId="0" fontId="15" fillId="0" borderId="7" xfId="0" applyFont="1" applyFill="1" applyBorder="1" applyAlignment="1">
      <alignment horizontal="center"/>
    </xf>
    <xf numFmtId="3" fontId="4" fillId="0" borderId="7" xfId="1" applyNumberFormat="1" applyFont="1" applyBorder="1"/>
    <xf numFmtId="3" fontId="24" fillId="0" borderId="0" xfId="1" applyNumberFormat="1" applyFont="1"/>
    <xf numFmtId="0" fontId="4" fillId="0" borderId="9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/>
    <xf numFmtId="0" fontId="4" fillId="0" borderId="7" xfId="0" applyFont="1" applyBorder="1"/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189" fontId="15" fillId="0" borderId="0" xfId="5" applyNumberFormat="1" applyFont="1" applyFill="1" applyBorder="1"/>
    <xf numFmtId="49" fontId="1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9" fontId="6" fillId="0" borderId="15" xfId="5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6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9" fontId="6" fillId="0" borderId="18" xfId="5" applyNumberFormat="1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9" xfId="0" applyFont="1" applyFill="1" applyBorder="1" applyAlignment="1">
      <alignment horizontal="left" vertical="top"/>
    </xf>
    <xf numFmtId="0" fontId="6" fillId="0" borderId="9" xfId="0" applyFont="1" applyFill="1" applyBorder="1"/>
    <xf numFmtId="190" fontId="6" fillId="0" borderId="9" xfId="5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49" fontId="6" fillId="0" borderId="7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189" fontId="6" fillId="0" borderId="7" xfId="5" applyNumberFormat="1" applyFont="1" applyFill="1" applyBorder="1"/>
    <xf numFmtId="189" fontId="4" fillId="0" borderId="7" xfId="5" applyNumberFormat="1" applyFont="1" applyFill="1" applyBorder="1"/>
    <xf numFmtId="49" fontId="6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89" fontId="4" fillId="0" borderId="2" xfId="5" applyNumberFormat="1" applyFont="1" applyFill="1" applyBorder="1"/>
    <xf numFmtId="0" fontId="4" fillId="0" borderId="2" xfId="0" applyFont="1" applyFill="1" applyBorder="1"/>
    <xf numFmtId="0" fontId="6" fillId="0" borderId="7" xfId="0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3" borderId="7" xfId="0" applyNumberFormat="1" applyFont="1" applyFill="1" applyBorder="1" applyAlignment="1">
      <alignment horizontal="left" indent="2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189" fontId="6" fillId="4" borderId="7" xfId="5" applyNumberFormat="1" applyFont="1" applyFill="1" applyBorder="1"/>
    <xf numFmtId="190" fontId="6" fillId="4" borderId="7" xfId="5" applyNumberFormat="1" applyFont="1" applyFill="1" applyBorder="1"/>
    <xf numFmtId="49" fontId="4" fillId="0" borderId="7" xfId="0" applyNumberFormat="1" applyFont="1" applyFill="1" applyBorder="1" applyAlignment="1">
      <alignment horizontal="left"/>
    </xf>
    <xf numFmtId="0" fontId="2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189" fontId="4" fillId="0" borderId="7" xfId="5" applyNumberFormat="1" applyFont="1" applyFill="1" applyBorder="1" applyAlignment="1">
      <alignment horizontal="center" vertical="top"/>
    </xf>
    <xf numFmtId="190" fontId="4" fillId="0" borderId="7" xfId="5" applyNumberFormat="1" applyFont="1" applyFill="1" applyBorder="1"/>
    <xf numFmtId="0" fontId="4" fillId="3" borderId="7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89" fontId="6" fillId="4" borderId="7" xfId="5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center"/>
    </xf>
    <xf numFmtId="0" fontId="4" fillId="3" borderId="4" xfId="0" applyFont="1" applyFill="1" applyBorder="1"/>
    <xf numFmtId="0" fontId="4" fillId="0" borderId="7" xfId="0" applyFont="1" applyFill="1" applyBorder="1" applyAlignment="1">
      <alignment horizontal="center" vertical="center"/>
    </xf>
    <xf numFmtId="190" fontId="4" fillId="4" borderId="7" xfId="5" applyNumberFormat="1" applyFont="1" applyFill="1" applyBorder="1"/>
    <xf numFmtId="49" fontId="6" fillId="3" borderId="6" xfId="0" applyNumberFormat="1" applyFont="1" applyFill="1" applyBorder="1" applyAlignment="1">
      <alignment horizontal="left" indent="2"/>
    </xf>
    <xf numFmtId="189" fontId="4" fillId="4" borderId="7" xfId="5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left"/>
    </xf>
    <xf numFmtId="189" fontId="6" fillId="0" borderId="7" xfId="5" applyNumberFormat="1" applyFont="1" applyFill="1" applyBorder="1" applyAlignment="1">
      <alignment horizontal="center" vertical="top"/>
    </xf>
    <xf numFmtId="190" fontId="6" fillId="0" borderId="7" xfId="5" applyNumberFormat="1" applyFont="1" applyFill="1" applyBorder="1"/>
    <xf numFmtId="0" fontId="15" fillId="0" borderId="3" xfId="0" applyFont="1" applyFill="1" applyBorder="1"/>
    <xf numFmtId="0" fontId="29" fillId="0" borderId="7" xfId="0" applyFont="1" applyFill="1" applyBorder="1" applyAlignment="1">
      <alignment vertical="center"/>
    </xf>
    <xf numFmtId="0" fontId="4" fillId="0" borderId="4" xfId="0" applyFont="1" applyFill="1" applyBorder="1"/>
    <xf numFmtId="0" fontId="29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/>
    </xf>
    <xf numFmtId="190" fontId="6" fillId="0" borderId="2" xfId="5" applyNumberFormat="1" applyFont="1" applyFill="1" applyBorder="1"/>
    <xf numFmtId="0" fontId="4" fillId="0" borderId="2" xfId="0" applyFont="1" applyFill="1" applyBorder="1" applyAlignment="1">
      <alignment vertical="top" wrapText="1"/>
    </xf>
    <xf numFmtId="190" fontId="6" fillId="0" borderId="7" xfId="5" applyNumberFormat="1" applyFont="1" applyFill="1" applyBorder="1" applyAlignment="1">
      <alignment vertical="top"/>
    </xf>
    <xf numFmtId="49" fontId="6" fillId="3" borderId="6" xfId="0" applyNumberFormat="1" applyFont="1" applyFill="1" applyBorder="1" applyAlignment="1">
      <alignment horizontal="left" vertical="top" wrapText="1" indent="2"/>
    </xf>
    <xf numFmtId="189" fontId="30" fillId="0" borderId="7" xfId="5" applyNumberFormat="1" applyFont="1" applyFill="1" applyBorder="1"/>
    <xf numFmtId="49" fontId="4" fillId="0" borderId="7" xfId="0" applyNumberFormat="1" applyFont="1" applyFill="1" applyBorder="1" applyAlignment="1">
      <alignment horizontal="left" indent="2"/>
    </xf>
    <xf numFmtId="49" fontId="6" fillId="3" borderId="7" xfId="0" applyNumberFormat="1" applyFont="1" applyFill="1" applyBorder="1" applyAlignment="1">
      <alignment horizontal="left" wrapText="1" indent="2"/>
    </xf>
    <xf numFmtId="191" fontId="6" fillId="0" borderId="7" xfId="5" applyNumberFormat="1" applyFont="1" applyFill="1" applyBorder="1"/>
    <xf numFmtId="49" fontId="15" fillId="0" borderId="0" xfId="0" applyNumberFormat="1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left" indent="2"/>
    </xf>
    <xf numFmtId="49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3" fillId="0" borderId="0" xfId="6" applyFont="1" applyFill="1" applyBorder="1" applyAlignment="1"/>
    <xf numFmtId="0" fontId="1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9" fontId="5" fillId="0" borderId="9" xfId="5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6" fillId="0" borderId="18" xfId="6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189" fontId="6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89" fontId="6" fillId="4" borderId="7" xfId="5" applyNumberFormat="1" applyFont="1" applyFill="1" applyBorder="1" applyAlignment="1">
      <alignment horizontal="right"/>
    </xf>
    <xf numFmtId="188" fontId="6" fillId="4" borderId="7" xfId="0" applyNumberFormat="1" applyFont="1" applyFill="1" applyBorder="1" applyAlignment="1">
      <alignment horizontal="right"/>
    </xf>
    <xf numFmtId="49" fontId="6" fillId="3" borderId="4" xfId="0" applyNumberFormat="1" applyFont="1" applyFill="1" applyBorder="1" applyAlignment="1">
      <alignment horizontal="left" indent="2"/>
    </xf>
    <xf numFmtId="189" fontId="15" fillId="0" borderId="0" xfId="0" applyNumberFormat="1" applyFont="1" applyFill="1" applyBorder="1"/>
    <xf numFmtId="49" fontId="4" fillId="0" borderId="4" xfId="0" applyNumberFormat="1" applyFont="1" applyFill="1" applyBorder="1" applyAlignment="1">
      <alignment horizontal="left" indent="2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189" fontId="4" fillId="4" borderId="7" xfId="5" applyNumberFormat="1" applyFont="1" applyFill="1" applyBorder="1" applyAlignment="1">
      <alignment horizontal="center"/>
    </xf>
    <xf numFmtId="189" fontId="4" fillId="4" borderId="7" xfId="5" applyNumberFormat="1" applyFont="1" applyFill="1" applyBorder="1" applyAlignment="1">
      <alignment horizontal="right"/>
    </xf>
    <xf numFmtId="188" fontId="4" fillId="4" borderId="7" xfId="0" applyNumberFormat="1" applyFont="1" applyFill="1" applyBorder="1" applyAlignment="1">
      <alignment horizontal="right"/>
    </xf>
    <xf numFmtId="0" fontId="27" fillId="0" borderId="7" xfId="0" applyFont="1" applyFill="1" applyBorder="1"/>
    <xf numFmtId="189" fontId="4" fillId="0" borderId="7" xfId="5" applyNumberFormat="1" applyFont="1" applyFill="1" applyBorder="1" applyAlignment="1">
      <alignment horizontal="center"/>
    </xf>
    <xf numFmtId="189" fontId="4" fillId="0" borderId="7" xfId="5" applyNumberFormat="1" applyFont="1" applyFill="1" applyBorder="1" applyAlignment="1">
      <alignment horizontal="right"/>
    </xf>
    <xf numFmtId="188" fontId="4" fillId="0" borderId="7" xfId="0" applyNumberFormat="1" applyFont="1" applyFill="1" applyBorder="1" applyAlignment="1">
      <alignment horizontal="right"/>
    </xf>
    <xf numFmtId="0" fontId="4" fillId="4" borderId="7" xfId="0" applyFont="1" applyFill="1" applyBorder="1"/>
    <xf numFmtId="0" fontId="15" fillId="4" borderId="7" xfId="0" applyFont="1" applyFill="1" applyBorder="1"/>
    <xf numFmtId="49" fontId="4" fillId="4" borderId="4" xfId="0" applyNumberFormat="1" applyFont="1" applyFill="1" applyBorder="1" applyAlignment="1">
      <alignment horizontal="left" indent="2"/>
    </xf>
    <xf numFmtId="0" fontId="15" fillId="4" borderId="0" xfId="0" applyFont="1" applyFill="1" applyBorder="1"/>
    <xf numFmtId="49" fontId="4" fillId="0" borderId="4" xfId="0" applyNumberFormat="1" applyFont="1" applyFill="1" applyBorder="1" applyAlignment="1">
      <alignment horizontal="left" vertical="top" indent="2"/>
    </xf>
    <xf numFmtId="43" fontId="4" fillId="0" borderId="7" xfId="5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 wrapText="1" indent="2"/>
    </xf>
    <xf numFmtId="49" fontId="4" fillId="4" borderId="4" xfId="0" applyNumberFormat="1" applyFont="1" applyFill="1" applyBorder="1" applyAlignment="1">
      <alignment horizontal="left" wrapText="1" indent="2"/>
    </xf>
    <xf numFmtId="1" fontId="4" fillId="0" borderId="7" xfId="0" applyNumberFormat="1" applyFont="1" applyFill="1" applyBorder="1" applyAlignment="1">
      <alignment horizontal="right"/>
    </xf>
    <xf numFmtId="0" fontId="15" fillId="0" borderId="9" xfId="0" applyFont="1" applyFill="1" applyBorder="1"/>
    <xf numFmtId="189" fontId="6" fillId="0" borderId="6" xfId="5" applyNumberFormat="1" applyFont="1" applyFill="1" applyBorder="1"/>
    <xf numFmtId="189" fontId="4" fillId="0" borderId="6" xfId="5" applyNumberFormat="1" applyFont="1" applyFill="1" applyBorder="1"/>
    <xf numFmtId="189" fontId="6" fillId="3" borderId="7" xfId="5" applyNumberFormat="1" applyFont="1" applyFill="1" applyBorder="1"/>
    <xf numFmtId="0" fontId="4" fillId="3" borderId="6" xfId="0" applyFont="1" applyFill="1" applyBorder="1" applyAlignment="1">
      <alignment horizontal="center"/>
    </xf>
    <xf numFmtId="0" fontId="15" fillId="0" borderId="6" xfId="0" applyFont="1" applyFill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center"/>
    </xf>
    <xf numFmtId="3" fontId="15" fillId="0" borderId="0" xfId="0" applyNumberFormat="1" applyFont="1" applyFill="1" applyBorder="1"/>
    <xf numFmtId="49" fontId="15" fillId="0" borderId="0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3" fontId="5" fillId="0" borderId="11" xfId="0" applyNumberFormat="1" applyFont="1" applyFill="1" applyBorder="1"/>
    <xf numFmtId="189" fontId="5" fillId="0" borderId="11" xfId="5" applyNumberFormat="1" applyFont="1" applyFill="1" applyBorder="1"/>
    <xf numFmtId="3" fontId="15" fillId="0" borderId="7" xfId="0" applyNumberFormat="1" applyFont="1" applyFill="1" applyBorder="1"/>
    <xf numFmtId="189" fontId="15" fillId="0" borderId="7" xfId="5" applyNumberFormat="1" applyFont="1" applyFill="1" applyBorder="1"/>
    <xf numFmtId="49" fontId="15" fillId="0" borderId="7" xfId="0" applyNumberFormat="1" applyFont="1" applyFill="1" applyBorder="1" applyAlignment="1">
      <alignment horizontal="left" indent="2"/>
    </xf>
    <xf numFmtId="0" fontId="28" fillId="0" borderId="7" xfId="7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/>
    </xf>
    <xf numFmtId="3" fontId="15" fillId="0" borderId="7" xfId="5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vertical="center"/>
    </xf>
    <xf numFmtId="0" fontId="15" fillId="0" borderId="4" xfId="0" applyFont="1" applyFill="1" applyBorder="1"/>
    <xf numFmtId="49" fontId="5" fillId="0" borderId="6" xfId="0" applyNumberFormat="1" applyFont="1" applyFill="1" applyBorder="1" applyAlignment="1">
      <alignment horizontal="left" indent="2"/>
    </xf>
    <xf numFmtId="49" fontId="15" fillId="0" borderId="7" xfId="0" applyNumberFormat="1" applyFont="1" applyFill="1" applyBorder="1" applyAlignment="1">
      <alignment horizontal="left" wrapText="1" indent="2"/>
    </xf>
    <xf numFmtId="49" fontId="15" fillId="0" borderId="7" xfId="0" applyNumberFormat="1" applyFont="1" applyFill="1" applyBorder="1" applyAlignment="1">
      <alignment horizontal="left" vertical="top" wrapText="1" indent="2"/>
    </xf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vertical="top"/>
    </xf>
    <xf numFmtId="0" fontId="15" fillId="0" borderId="7" xfId="0" applyFont="1" applyFill="1" applyBorder="1" applyAlignment="1">
      <alignment horizontal="center" vertical="top"/>
    </xf>
    <xf numFmtId="3" fontId="15" fillId="0" borderId="7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90" fontId="15" fillId="0" borderId="0" xfId="5" applyNumberFormat="1" applyFont="1" applyFill="1" applyBorder="1"/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89" fontId="5" fillId="0" borderId="17" xfId="5" applyNumberFormat="1" applyFont="1" applyFill="1" applyBorder="1" applyAlignment="1">
      <alignment horizontal="center" vertical="center" wrapText="1"/>
    </xf>
    <xf numFmtId="189" fontId="5" fillId="0" borderId="18" xfId="5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vertical="center"/>
    </xf>
    <xf numFmtId="49" fontId="6" fillId="3" borderId="17" xfId="0" applyNumberFormat="1" applyFont="1" applyFill="1" applyBorder="1" applyAlignment="1">
      <alignment horizontal="left" indent="2"/>
    </xf>
    <xf numFmtId="0" fontId="6" fillId="3" borderId="4" xfId="0" applyFont="1" applyFill="1" applyBorder="1" applyAlignment="1">
      <alignment horizontal="left" wrapText="1"/>
    </xf>
    <xf numFmtId="0" fontId="4" fillId="0" borderId="7" xfId="0" quotePrefix="1" applyFont="1" applyFill="1" applyBorder="1" applyAlignment="1">
      <alignment vertical="center" wrapText="1"/>
    </xf>
    <xf numFmtId="49" fontId="31" fillId="3" borderId="7" xfId="0" applyNumberFormat="1" applyFont="1" applyFill="1" applyBorder="1"/>
    <xf numFmtId="49" fontId="29" fillId="0" borderId="7" xfId="0" applyNumberFormat="1" applyFont="1" applyFill="1" applyBorder="1" applyAlignment="1">
      <alignment vertical="center"/>
    </xf>
    <xf numFmtId="49" fontId="29" fillId="0" borderId="7" xfId="0" quotePrefix="1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left" wrapText="1" indent="2"/>
    </xf>
    <xf numFmtId="0" fontId="29" fillId="0" borderId="0" xfId="8" applyFont="1" applyFill="1" applyBorder="1"/>
    <xf numFmtId="0" fontId="23" fillId="0" borderId="0" xfId="8" applyFont="1" applyFill="1" applyBorder="1" applyAlignment="1"/>
    <xf numFmtId="0" fontId="36" fillId="0" borderId="0" xfId="8" applyFont="1" applyFill="1" applyBorder="1" applyAlignment="1"/>
    <xf numFmtId="0" fontId="36" fillId="0" borderId="0" xfId="8" applyFont="1" applyFill="1" applyBorder="1"/>
    <xf numFmtId="0" fontId="29" fillId="0" borderId="0" xfId="0" applyFont="1" applyFill="1" applyBorder="1" applyAlignment="1">
      <alignment horizontal="right"/>
    </xf>
    <xf numFmtId="0" fontId="31" fillId="0" borderId="0" xfId="8" applyFont="1" applyFill="1" applyBorder="1" applyAlignment="1">
      <alignment horizontal="center"/>
    </xf>
    <xf numFmtId="0" fontId="31" fillId="0" borderId="9" xfId="8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189" fontId="31" fillId="0" borderId="6" xfId="5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1" fillId="0" borderId="11" xfId="6" applyFont="1" applyFill="1" applyBorder="1" applyAlignment="1">
      <alignment horizontal="center"/>
    </xf>
    <xf numFmtId="0" fontId="31" fillId="0" borderId="11" xfId="8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8" applyFont="1" applyFill="1" applyBorder="1" applyAlignment="1">
      <alignment horizontal="center" vertical="center" wrapText="1"/>
    </xf>
    <xf numFmtId="189" fontId="31" fillId="0" borderId="11" xfId="5" applyNumberFormat="1" applyFont="1" applyFill="1" applyBorder="1" applyAlignment="1">
      <alignment horizontal="center" vertical="center" wrapText="1"/>
    </xf>
    <xf numFmtId="193" fontId="29" fillId="4" borderId="7" xfId="9" applyNumberFormat="1" applyFont="1" applyFill="1" applyBorder="1" applyAlignment="1">
      <alignment horizontal="right" vertical="top" wrapText="1"/>
    </xf>
    <xf numFmtId="0" fontId="29" fillId="0" borderId="7" xfId="8" applyFont="1" applyFill="1" applyBorder="1" applyAlignment="1">
      <alignment vertical="center"/>
    </xf>
    <xf numFmtId="0" fontId="29" fillId="0" borderId="0" xfId="0" applyFont="1" applyFill="1" applyBorder="1"/>
    <xf numFmtId="0" fontId="4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vertical="top"/>
    </xf>
    <xf numFmtId="0" fontId="15" fillId="0" borderId="0" xfId="8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6" fillId="0" borderId="0" xfId="8" applyFont="1" applyFill="1" applyBorder="1" applyAlignment="1">
      <alignment horizontal="center" vertical="top"/>
    </xf>
    <xf numFmtId="0" fontId="6" fillId="0" borderId="7" xfId="8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4" fillId="0" borderId="9" xfId="8" applyFont="1" applyFill="1" applyBorder="1" applyAlignment="1">
      <alignment vertical="top"/>
    </xf>
    <xf numFmtId="0" fontId="4" fillId="0" borderId="7" xfId="8" applyFont="1" applyFill="1" applyBorder="1" applyAlignment="1">
      <alignment vertical="top"/>
    </xf>
    <xf numFmtId="0" fontId="4" fillId="0" borderId="7" xfId="8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4" fillId="0" borderId="0" xfId="8" applyFont="1" applyFill="1" applyBorder="1"/>
    <xf numFmtId="0" fontId="5" fillId="0" borderId="0" xfId="8" applyFont="1" applyFill="1" applyBorder="1" applyAlignment="1"/>
    <xf numFmtId="0" fontId="6" fillId="0" borderId="0" xfId="8" applyFont="1" applyFill="1" applyBorder="1" applyAlignment="1"/>
    <xf numFmtId="0" fontId="15" fillId="0" borderId="0" xfId="8" applyFont="1" applyFill="1" applyBorder="1" applyAlignment="1"/>
    <xf numFmtId="0" fontId="15" fillId="0" borderId="0" xfId="8" applyFont="1" applyFill="1" applyBorder="1"/>
    <xf numFmtId="0" fontId="6" fillId="0" borderId="0" xfId="8" applyFont="1" applyFill="1" applyBorder="1" applyAlignment="1">
      <alignment horizontal="center"/>
    </xf>
    <xf numFmtId="0" fontId="6" fillId="0" borderId="9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 wrapText="1"/>
    </xf>
    <xf numFmtId="189" fontId="6" fillId="0" borderId="6" xfId="5" applyNumberFormat="1" applyFont="1" applyFill="1" applyBorder="1" applyAlignment="1">
      <alignment horizontal="center" vertical="center" wrapText="1"/>
    </xf>
    <xf numFmtId="0" fontId="6" fillId="0" borderId="11" xfId="8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center" vertical="center" wrapText="1"/>
    </xf>
    <xf numFmtId="189" fontId="6" fillId="0" borderId="11" xfId="5" applyNumberFormat="1" applyFont="1" applyFill="1" applyBorder="1" applyAlignment="1">
      <alignment horizontal="center" vertical="center" wrapText="1"/>
    </xf>
    <xf numFmtId="0" fontId="4" fillId="0" borderId="9" xfId="8" applyFont="1" applyFill="1" applyBorder="1"/>
    <xf numFmtId="0" fontId="4" fillId="0" borderId="7" xfId="8" applyFont="1" applyFill="1" applyBorder="1"/>
    <xf numFmtId="0" fontId="4" fillId="2" borderId="7" xfId="8" applyFont="1" applyFill="1" applyBorder="1"/>
    <xf numFmtId="0" fontId="4" fillId="0" borderId="9" xfId="8" applyFont="1" applyFill="1" applyBorder="1" applyAlignment="1">
      <alignment wrapText="1"/>
    </xf>
    <xf numFmtId="0" fontId="4" fillId="0" borderId="0" xfId="8" applyFont="1" applyFill="1" applyBorder="1" applyAlignment="1">
      <alignment wrapText="1"/>
    </xf>
    <xf numFmtId="49" fontId="6" fillId="0" borderId="7" xfId="0" applyNumberFormat="1" applyFont="1" applyFill="1" applyBorder="1" applyAlignment="1">
      <alignment vertical="top"/>
    </xf>
    <xf numFmtId="0" fontId="4" fillId="0" borderId="7" xfId="8" applyFont="1" applyFill="1" applyBorder="1" applyAlignment="1">
      <alignment wrapText="1"/>
    </xf>
    <xf numFmtId="0" fontId="4" fillId="2" borderId="7" xfId="8" applyFont="1" applyFill="1" applyBorder="1" applyAlignment="1">
      <alignment wrapText="1"/>
    </xf>
    <xf numFmtId="0" fontId="4" fillId="0" borderId="7" xfId="8" applyFont="1" applyFill="1" applyBorder="1" applyAlignment="1">
      <alignment horizontal="left"/>
    </xf>
    <xf numFmtId="0" fontId="6" fillId="0" borderId="7" xfId="8" applyFont="1" applyFill="1" applyBorder="1" applyAlignment="1">
      <alignment horizontal="left"/>
    </xf>
    <xf numFmtId="0" fontId="6" fillId="0" borderId="7" xfId="8" applyFont="1" applyFill="1" applyBorder="1" applyAlignment="1">
      <alignment horizontal="left" indent="2"/>
    </xf>
    <xf numFmtId="189" fontId="4" fillId="2" borderId="7" xfId="5" applyNumberFormat="1" applyFont="1" applyFill="1" applyBorder="1"/>
    <xf numFmtId="189" fontId="4" fillId="4" borderId="7" xfId="5" applyNumberFormat="1" applyFont="1" applyFill="1" applyBorder="1"/>
    <xf numFmtId="192" fontId="4" fillId="0" borderId="7" xfId="8" applyNumberFormat="1" applyFont="1" applyFill="1" applyBorder="1"/>
    <xf numFmtId="0" fontId="27" fillId="0" borderId="7" xfId="8" applyFont="1" applyFill="1" applyBorder="1"/>
    <xf numFmtId="0" fontId="4" fillId="0" borderId="7" xfId="8" applyFont="1" applyFill="1" applyBorder="1" applyAlignment="1"/>
    <xf numFmtId="0" fontId="4" fillId="2" borderId="7" xfId="8" applyFont="1" applyFill="1" applyBorder="1" applyAlignment="1"/>
    <xf numFmtId="3" fontId="6" fillId="4" borderId="7" xfId="8" applyNumberFormat="1" applyFont="1" applyFill="1" applyBorder="1" applyAlignment="1">
      <alignment horizontal="right"/>
    </xf>
    <xf numFmtId="0" fontId="39" fillId="4" borderId="7" xfId="8" applyFont="1" applyFill="1" applyBorder="1" applyAlignment="1">
      <alignment wrapText="1"/>
    </xf>
    <xf numFmtId="0" fontId="39" fillId="3" borderId="7" xfId="8" applyFont="1" applyFill="1" applyBorder="1" applyAlignment="1">
      <alignment wrapText="1"/>
    </xf>
    <xf numFmtId="0" fontId="39" fillId="2" borderId="7" xfId="8" applyFont="1" applyFill="1" applyBorder="1" applyAlignment="1">
      <alignment wrapText="1"/>
    </xf>
    <xf numFmtId="189" fontId="6" fillId="4" borderId="7" xfId="5" applyNumberFormat="1" applyFont="1" applyFill="1" applyBorder="1" applyAlignment="1">
      <alignment wrapText="1"/>
    </xf>
    <xf numFmtId="193" fontId="6" fillId="4" borderId="7" xfId="8" applyNumberFormat="1" applyFont="1" applyFill="1" applyBorder="1" applyAlignment="1">
      <alignment wrapText="1"/>
    </xf>
    <xf numFmtId="187" fontId="6" fillId="4" borderId="7" xfId="8" applyNumberFormat="1" applyFont="1" applyFill="1" applyBorder="1" applyAlignment="1">
      <alignment wrapText="1"/>
    </xf>
    <xf numFmtId="193" fontId="4" fillId="4" borderId="7" xfId="9" applyNumberFormat="1" applyFont="1" applyFill="1" applyBorder="1" applyAlignment="1">
      <alignment wrapText="1"/>
    </xf>
    <xf numFmtId="0" fontId="4" fillId="4" borderId="7" xfId="8" applyFont="1" applyFill="1" applyBorder="1" applyAlignment="1">
      <alignment horizontal="center" wrapText="1"/>
    </xf>
    <xf numFmtId="0" fontId="4" fillId="4" borderId="7" xfId="8" applyFont="1" applyFill="1" applyBorder="1" applyAlignment="1">
      <alignment wrapText="1"/>
    </xf>
    <xf numFmtId="189" fontId="4" fillId="4" borderId="7" xfId="5" applyNumberFormat="1" applyFont="1" applyFill="1" applyBorder="1" applyAlignment="1">
      <alignment horizontal="right" vertical="top" wrapText="1"/>
    </xf>
    <xf numFmtId="193" fontId="4" fillId="4" borderId="7" xfId="9" applyNumberFormat="1" applyFont="1" applyFill="1" applyBorder="1" applyAlignment="1">
      <alignment horizontal="right" vertical="top" wrapText="1"/>
    </xf>
    <xf numFmtId="192" fontId="4" fillId="4" borderId="7" xfId="9" applyNumberFormat="1" applyFont="1" applyFill="1" applyBorder="1" applyAlignment="1">
      <alignment horizontal="right" vertical="top" wrapText="1"/>
    </xf>
    <xf numFmtId="0" fontId="4" fillId="3" borderId="7" xfId="8" applyFont="1" applyFill="1" applyBorder="1" applyAlignment="1">
      <alignment wrapText="1"/>
    </xf>
    <xf numFmtId="193" fontId="4" fillId="0" borderId="7" xfId="9" applyNumberFormat="1" applyFont="1" applyFill="1" applyBorder="1" applyAlignment="1">
      <alignment wrapText="1"/>
    </xf>
    <xf numFmtId="192" fontId="4" fillId="4" borderId="7" xfId="9" applyNumberFormat="1" applyFont="1" applyFill="1" applyBorder="1" applyAlignment="1">
      <alignment vertical="center"/>
    </xf>
    <xf numFmtId="194" fontId="6" fillId="4" borderId="7" xfId="9" applyNumberFormat="1" applyFont="1" applyFill="1" applyBorder="1" applyAlignment="1">
      <alignment horizontal="right" vertical="top"/>
    </xf>
    <xf numFmtId="0" fontId="4" fillId="2" borderId="7" xfId="8" applyFont="1" applyFill="1" applyBorder="1" applyAlignment="1">
      <alignment horizontal="center"/>
    </xf>
    <xf numFmtId="192" fontId="6" fillId="4" borderId="7" xfId="9" applyNumberFormat="1" applyFont="1" applyFill="1" applyBorder="1" applyAlignment="1">
      <alignment wrapText="1"/>
    </xf>
    <xf numFmtId="189" fontId="4" fillId="4" borderId="7" xfId="5" applyNumberFormat="1" applyFont="1" applyFill="1" applyBorder="1" applyAlignment="1">
      <alignment vertical="center"/>
    </xf>
    <xf numFmtId="192" fontId="6" fillId="4" borderId="7" xfId="9" applyNumberFormat="1" applyFont="1" applyFill="1" applyBorder="1" applyAlignment="1">
      <alignment horizontal="right" vertical="top" wrapText="1"/>
    </xf>
    <xf numFmtId="189" fontId="6" fillId="4" borderId="7" xfId="5" applyNumberFormat="1" applyFont="1" applyFill="1" applyBorder="1" applyAlignment="1">
      <alignment horizontal="right" vertical="top" wrapText="1"/>
    </xf>
    <xf numFmtId="194" fontId="6" fillId="4" borderId="7" xfId="9" applyNumberFormat="1" applyFont="1" applyFill="1" applyBorder="1" applyAlignment="1">
      <alignment horizontal="right" vertical="top" wrapText="1"/>
    </xf>
    <xf numFmtId="194" fontId="4" fillId="4" borderId="7" xfId="9" applyNumberFormat="1" applyFont="1" applyFill="1" applyBorder="1" applyAlignment="1">
      <alignment horizontal="right" vertical="top" wrapText="1"/>
    </xf>
    <xf numFmtId="193" fontId="6" fillId="4" borderId="7" xfId="9" applyNumberFormat="1" applyFont="1" applyFill="1" applyBorder="1" applyAlignment="1">
      <alignment horizontal="right" vertical="top" wrapText="1"/>
    </xf>
    <xf numFmtId="194" fontId="6" fillId="4" borderId="7" xfId="9" applyNumberFormat="1" applyFont="1" applyFill="1" applyBorder="1" applyAlignment="1">
      <alignment horizontal="right"/>
    </xf>
    <xf numFmtId="194" fontId="4" fillId="4" borderId="7" xfId="9" applyNumberFormat="1" applyFont="1" applyFill="1" applyBorder="1" applyAlignment="1">
      <alignment vertical="center"/>
    </xf>
    <xf numFmtId="187" fontId="4" fillId="4" borderId="7" xfId="9" applyNumberFormat="1" applyFont="1" applyFill="1" applyBorder="1" applyAlignment="1">
      <alignment horizontal="right" vertical="top" wrapText="1"/>
    </xf>
    <xf numFmtId="0" fontId="4" fillId="0" borderId="6" xfId="8" applyFont="1" applyFill="1" applyBorder="1"/>
    <xf numFmtId="0" fontId="4" fillId="4" borderId="7" xfId="8" applyFont="1" applyFill="1" applyBorder="1" applyAlignment="1">
      <alignment vertical="center"/>
    </xf>
    <xf numFmtId="0" fontId="4" fillId="0" borderId="0" xfId="0" applyFont="1" applyFill="1" applyBorder="1" applyAlignment="1"/>
    <xf numFmtId="0" fontId="27" fillId="0" borderId="0" xfId="0" applyFont="1" applyFill="1" applyBorder="1" applyAlignment="1"/>
    <xf numFmtId="0" fontId="15" fillId="0" borderId="0" xfId="8" applyFont="1" applyFill="1" applyBorder="1" applyAlignment="1">
      <alignment horizontal="right"/>
    </xf>
    <xf numFmtId="0" fontId="15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right"/>
    </xf>
    <xf numFmtId="0" fontId="4" fillId="0" borderId="0" xfId="8" applyFont="1" applyFill="1" applyBorder="1" applyAlignment="1">
      <alignment horizontal="center"/>
    </xf>
    <xf numFmtId="0" fontId="6" fillId="0" borderId="11" xfId="8" applyFont="1" applyFill="1" applyBorder="1" applyAlignment="1">
      <alignment horizontal="right" vertical="center" wrapText="1"/>
    </xf>
    <xf numFmtId="0" fontId="4" fillId="4" borderId="7" xfId="7" applyFont="1" applyFill="1" applyBorder="1" applyAlignment="1">
      <alignment horizontal="center"/>
    </xf>
    <xf numFmtId="0" fontId="28" fillId="4" borderId="7" xfId="7" applyFont="1" applyFill="1" applyBorder="1" applyAlignment="1">
      <alignment horizontal="center"/>
    </xf>
    <xf numFmtId="189" fontId="4" fillId="0" borderId="7" xfId="5" applyNumberFormat="1" applyFont="1" applyFill="1" applyBorder="1" applyAlignment="1">
      <alignment wrapText="1"/>
    </xf>
    <xf numFmtId="192" fontId="4" fillId="0" borderId="7" xfId="9" applyNumberFormat="1" applyFont="1" applyFill="1" applyBorder="1" applyAlignment="1">
      <alignment wrapText="1"/>
    </xf>
    <xf numFmtId="0" fontId="4" fillId="3" borderId="7" xfId="8" applyFont="1" applyFill="1" applyBorder="1"/>
    <xf numFmtId="193" fontId="4" fillId="2" borderId="7" xfId="9" applyNumberFormat="1" applyFont="1" applyFill="1" applyBorder="1" applyAlignment="1">
      <alignment horizontal="center"/>
    </xf>
    <xf numFmtId="192" fontId="6" fillId="0" borderId="7" xfId="9" applyNumberFormat="1" applyFont="1" applyFill="1" applyBorder="1" applyAlignment="1">
      <alignment wrapText="1"/>
    </xf>
    <xf numFmtId="189" fontId="4" fillId="4" borderId="7" xfId="5" applyNumberFormat="1" applyFont="1" applyFill="1" applyBorder="1" applyAlignment="1">
      <alignment wrapText="1"/>
    </xf>
    <xf numFmtId="0" fontId="6" fillId="4" borderId="7" xfId="7" applyFont="1" applyFill="1" applyBorder="1" applyAlignment="1">
      <alignment vertical="top"/>
    </xf>
    <xf numFmtId="0" fontId="29" fillId="4" borderId="7" xfId="8" applyFont="1" applyFill="1" applyBorder="1" applyAlignment="1">
      <alignment vertical="center"/>
    </xf>
    <xf numFmtId="0" fontId="39" fillId="3" borderId="7" xfId="8" applyFont="1" applyFill="1" applyBorder="1" applyAlignment="1">
      <alignment vertical="top" wrapText="1"/>
    </xf>
    <xf numFmtId="0" fontId="4" fillId="0" borderId="7" xfId="7" applyFont="1" applyFill="1" applyBorder="1" applyAlignment="1">
      <alignment horizontal="left" vertical="top"/>
    </xf>
    <xf numFmtId="189" fontId="6" fillId="4" borderId="7" xfId="5" applyNumberFormat="1" applyFont="1" applyFill="1" applyBorder="1" applyAlignment="1">
      <alignment horizontal="right" vertical="top"/>
    </xf>
    <xf numFmtId="0" fontId="6" fillId="4" borderId="7" xfId="8" applyFont="1" applyFill="1" applyBorder="1" applyAlignment="1">
      <alignment horizontal="left" vertical="top"/>
    </xf>
    <xf numFmtId="0" fontId="4" fillId="0" borderId="7" xfId="8" applyFont="1" applyFill="1" applyBorder="1" applyAlignment="1">
      <alignment vertical="center"/>
    </xf>
    <xf numFmtId="0" fontId="6" fillId="4" borderId="7" xfId="8" applyFont="1" applyFill="1" applyBorder="1" applyAlignment="1">
      <alignment vertical="center"/>
    </xf>
    <xf numFmtId="0" fontId="4" fillId="0" borderId="7" xfId="8" applyFont="1" applyFill="1" applyBorder="1" applyAlignment="1">
      <alignment horizontal="left" wrapText="1"/>
    </xf>
    <xf numFmtId="0" fontId="6" fillId="0" borderId="7" xfId="8" applyFont="1" applyFill="1" applyBorder="1" applyAlignment="1">
      <alignment vertical="center"/>
    </xf>
    <xf numFmtId="0" fontId="39" fillId="4" borderId="7" xfId="8" applyFont="1" applyFill="1" applyBorder="1" applyAlignment="1">
      <alignment vertical="top" wrapText="1"/>
    </xf>
    <xf numFmtId="0" fontId="4" fillId="0" borderId="7" xfId="7" applyFont="1" applyFill="1" applyBorder="1" applyAlignment="1">
      <alignment vertical="top"/>
    </xf>
    <xf numFmtId="0" fontId="39" fillId="3" borderId="7" xfId="8" applyFont="1" applyFill="1" applyBorder="1" applyAlignment="1"/>
    <xf numFmtId="0" fontId="4" fillId="4" borderId="7" xfId="7" applyFont="1" applyFill="1" applyBorder="1" applyAlignment="1">
      <alignment vertical="top"/>
    </xf>
    <xf numFmtId="0" fontId="6" fillId="0" borderId="7" xfId="7" applyFont="1" applyFill="1" applyBorder="1" applyAlignment="1">
      <alignment vertical="top"/>
    </xf>
    <xf numFmtId="187" fontId="15" fillId="0" borderId="0" xfId="5" applyNumberFormat="1" applyFont="1" applyFill="1" applyBorder="1"/>
    <xf numFmtId="187" fontId="4" fillId="0" borderId="0" xfId="5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/>
    <xf numFmtId="193" fontId="6" fillId="0" borderId="11" xfId="5" applyNumberFormat="1" applyFont="1" applyFill="1" applyBorder="1"/>
    <xf numFmtId="197" fontId="6" fillId="0" borderId="11" xfId="0" applyNumberFormat="1" applyFont="1" applyFill="1" applyBorder="1"/>
    <xf numFmtId="0" fontId="6" fillId="0" borderId="0" xfId="0" applyFont="1" applyFill="1" applyBorder="1"/>
    <xf numFmtId="193" fontId="4" fillId="2" borderId="7" xfId="0" applyNumberFormat="1" applyFont="1" applyFill="1" applyBorder="1"/>
    <xf numFmtId="0" fontId="5" fillId="0" borderId="7" xfId="10" applyFont="1" applyFill="1" applyBorder="1" applyAlignment="1">
      <alignment horizontal="left" vertical="top"/>
    </xf>
    <xf numFmtId="193" fontId="6" fillId="0" borderId="7" xfId="5" applyNumberFormat="1" applyFont="1" applyFill="1" applyBorder="1"/>
    <xf numFmtId="0" fontId="26" fillId="0" borderId="7" xfId="0" applyFont="1" applyFill="1" applyBorder="1"/>
    <xf numFmtId="0" fontId="6" fillId="0" borderId="7" xfId="0" applyFont="1" applyFill="1" applyBorder="1" applyAlignment="1">
      <alignment horizontal="left" indent="2"/>
    </xf>
    <xf numFmtId="0" fontId="29" fillId="0" borderId="7" xfId="10" applyFont="1" applyFill="1" applyBorder="1" applyAlignment="1">
      <alignment horizontal="center" vertical="top"/>
    </xf>
    <xf numFmtId="189" fontId="4" fillId="0" borderId="7" xfId="3" applyNumberFormat="1" applyFont="1" applyFill="1" applyBorder="1" applyAlignment="1">
      <alignment horizontal="center" vertical="top" wrapText="1"/>
    </xf>
    <xf numFmtId="193" fontId="4" fillId="0" borderId="7" xfId="5" applyNumberFormat="1" applyFont="1" applyFill="1" applyBorder="1"/>
    <xf numFmtId="197" fontId="4" fillId="0" borderId="7" xfId="0" applyNumberFormat="1" applyFont="1" applyFill="1" applyBorder="1"/>
    <xf numFmtId="0" fontId="4" fillId="0" borderId="7" xfId="10" applyFont="1" applyFill="1" applyBorder="1" applyAlignment="1">
      <alignment horizontal="center" vertical="top" wrapText="1"/>
    </xf>
    <xf numFmtId="0" fontId="4" fillId="0" borderId="7" xfId="10" applyFont="1" applyFill="1" applyBorder="1" applyAlignment="1">
      <alignment horizontal="center" vertical="center"/>
    </xf>
    <xf numFmtId="0" fontId="4" fillId="0" borderId="7" xfId="10" applyFont="1" applyFill="1" applyBorder="1" applyAlignment="1">
      <alignment horizontal="center" vertical="top"/>
    </xf>
    <xf numFmtId="0" fontId="15" fillId="0" borderId="4" xfId="10" applyFont="1" applyFill="1" applyBorder="1" applyAlignment="1">
      <alignment horizontal="left" vertical="center"/>
    </xf>
    <xf numFmtId="0" fontId="40" fillId="0" borderId="4" xfId="10" applyFont="1" applyFill="1" applyBorder="1" applyAlignment="1">
      <alignment horizontal="left" vertical="center"/>
    </xf>
    <xf numFmtId="0" fontId="15" fillId="0" borderId="4" xfId="10" quotePrefix="1" applyFont="1" applyFill="1" applyBorder="1" applyAlignment="1">
      <alignment vertical="center" wrapText="1"/>
    </xf>
    <xf numFmtId="0" fontId="15" fillId="0" borderId="4" xfId="10" quotePrefix="1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0" fontId="15" fillId="0" borderId="1" xfId="10" applyFont="1" applyFill="1" applyBorder="1" applyAlignment="1">
      <alignment vertical="center"/>
    </xf>
    <xf numFmtId="0" fontId="15" fillId="0" borderId="17" xfId="10" applyFont="1" applyFill="1" applyBorder="1" applyAlignment="1">
      <alignment vertical="center" wrapText="1"/>
    </xf>
    <xf numFmtId="0" fontId="15" fillId="0" borderId="7" xfId="1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15" fillId="0" borderId="7" xfId="10" applyFont="1" applyFill="1" applyBorder="1" applyAlignment="1"/>
    <xf numFmtId="0" fontId="15" fillId="0" borderId="7" xfId="10" applyFont="1" applyFill="1" applyBorder="1"/>
    <xf numFmtId="0" fontId="15" fillId="0" borderId="7" xfId="10" quotePrefix="1" applyFont="1" applyFill="1" applyBorder="1"/>
    <xf numFmtId="0" fontId="5" fillId="0" borderId="7" xfId="10" applyFont="1" applyFill="1" applyBorder="1" applyAlignment="1">
      <alignment vertical="top"/>
    </xf>
    <xf numFmtId="0" fontId="15" fillId="0" borderId="7" xfId="10" quotePrefix="1" applyFont="1" applyFill="1" applyBorder="1" applyAlignment="1">
      <alignment horizontal="left"/>
    </xf>
    <xf numFmtId="0" fontId="15" fillId="0" borderId="7" xfId="10" quotePrefix="1" applyFont="1" applyFill="1" applyBorder="1" applyAlignment="1">
      <alignment vertical="top"/>
    </xf>
    <xf numFmtId="0" fontId="36" fillId="0" borderId="7" xfId="0" applyFont="1" applyFill="1" applyBorder="1" applyAlignment="1">
      <alignment vertical="top"/>
    </xf>
    <xf numFmtId="0" fontId="36" fillId="0" borderId="7" xfId="0" quotePrefix="1" applyFont="1" applyFill="1" applyBorder="1" applyAlignment="1">
      <alignment vertical="top"/>
    </xf>
    <xf numFmtId="0" fontId="15" fillId="0" borderId="7" xfId="10" applyFont="1" applyFill="1" applyBorder="1" applyAlignment="1">
      <alignment vertical="top"/>
    </xf>
    <xf numFmtId="0" fontId="36" fillId="0" borderId="7" xfId="10" applyFont="1" applyFill="1" applyBorder="1" applyAlignment="1">
      <alignment vertical="top"/>
    </xf>
    <xf numFmtId="0" fontId="41" fillId="0" borderId="7" xfId="10" applyFont="1" applyFill="1" applyBorder="1" applyAlignment="1">
      <alignment vertical="top"/>
    </xf>
    <xf numFmtId="0" fontId="5" fillId="0" borderId="7" xfId="0" applyFont="1" applyFill="1" applyBorder="1" applyAlignment="1">
      <alignment horizontal="center"/>
    </xf>
    <xf numFmtId="0" fontId="6" fillId="0" borderId="7" xfId="8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6" fillId="0" borderId="7" xfId="0" applyFont="1" applyFill="1" applyBorder="1"/>
    <xf numFmtId="0" fontId="11" fillId="0" borderId="8" xfId="0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/>
    <xf numFmtId="0" fontId="9" fillId="0" borderId="0" xfId="0" applyFont="1" applyFill="1" applyBorder="1" applyAlignment="1"/>
    <xf numFmtId="3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188" fontId="6" fillId="0" borderId="7" xfId="0" applyNumberFormat="1" applyFont="1" applyFill="1" applyBorder="1" applyAlignment="1">
      <alignment horizontal="right"/>
    </xf>
    <xf numFmtId="188" fontId="6" fillId="3" borderId="7" xfId="0" applyNumberFormat="1" applyFont="1" applyFill="1" applyBorder="1" applyAlignment="1">
      <alignment horizontal="right"/>
    </xf>
    <xf numFmtId="188" fontId="6" fillId="8" borderId="7" xfId="0" applyNumberFormat="1" applyFont="1" applyFill="1" applyBorder="1" applyAlignment="1">
      <alignment horizontal="right"/>
    </xf>
    <xf numFmtId="188" fontId="4" fillId="9" borderId="7" xfId="0" applyNumberFormat="1" applyFont="1" applyFill="1" applyBorder="1" applyAlignment="1">
      <alignment horizontal="right"/>
    </xf>
    <xf numFmtId="188" fontId="4" fillId="8" borderId="7" xfId="0" applyNumberFormat="1" applyFont="1" applyFill="1" applyBorder="1" applyAlignment="1">
      <alignment horizontal="right"/>
    </xf>
    <xf numFmtId="189" fontId="4" fillId="9" borderId="7" xfId="5" applyNumberFormat="1" applyFont="1" applyFill="1" applyBorder="1" applyAlignment="1">
      <alignment horizontal="right"/>
    </xf>
    <xf numFmtId="189" fontId="4" fillId="8" borderId="7" xfId="5" applyNumberFormat="1" applyFont="1" applyFill="1" applyBorder="1" applyAlignment="1">
      <alignment horizontal="right"/>
    </xf>
    <xf numFmtId="189" fontId="6" fillId="8" borderId="7" xfId="5" applyNumberFormat="1" applyFont="1" applyFill="1" applyBorder="1" applyAlignment="1">
      <alignment horizontal="right"/>
    </xf>
    <xf numFmtId="1" fontId="6" fillId="8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188" fontId="6" fillId="9" borderId="7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6" fillId="0" borderId="6" xfId="0" applyFont="1" applyBorder="1" applyAlignment="1">
      <alignment vertical="center" wrapText="1"/>
    </xf>
    <xf numFmtId="0" fontId="6" fillId="0" borderId="7" xfId="6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42" fillId="0" borderId="8" xfId="0" applyNumberFormat="1" applyFont="1" applyFill="1" applyBorder="1" applyAlignment="1">
      <alignment horizontal="right" vertical="top" wrapText="1"/>
    </xf>
    <xf numFmtId="0" fontId="22" fillId="0" borderId="9" xfId="0" applyNumberFormat="1" applyFont="1" applyFill="1" applyBorder="1" applyAlignment="1">
      <alignment vertical="top" wrapText="1"/>
    </xf>
    <xf numFmtId="0" fontId="22" fillId="0" borderId="6" xfId="0" applyNumberFormat="1" applyFont="1" applyFill="1" applyBorder="1" applyAlignment="1">
      <alignment vertical="top" wrapText="1"/>
    </xf>
    <xf numFmtId="0" fontId="43" fillId="0" borderId="9" xfId="0" applyNumberFormat="1" applyFont="1" applyFill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22" fillId="0" borderId="9" xfId="1" applyFont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0" xfId="0" applyFont="1" applyBorder="1"/>
    <xf numFmtId="189" fontId="6" fillId="4" borderId="0" xfId="5" applyNumberFormat="1" applyFont="1" applyFill="1" applyBorder="1" applyAlignment="1">
      <alignment horizontal="right"/>
    </xf>
    <xf numFmtId="188" fontId="6" fillId="4" borderId="0" xfId="0" applyNumberFormat="1" applyFont="1" applyFill="1" applyBorder="1" applyAlignment="1">
      <alignment horizontal="right"/>
    </xf>
    <xf numFmtId="188" fontId="4" fillId="4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/>
    <xf numFmtId="0" fontId="4" fillId="0" borderId="7" xfId="0" applyFont="1" applyFill="1" applyBorder="1" applyAlignment="1">
      <alignment horizontal="center" wrapText="1"/>
    </xf>
    <xf numFmtId="0" fontId="15" fillId="0" borderId="15" xfId="0" applyFont="1" applyFill="1" applyBorder="1"/>
    <xf numFmtId="0" fontId="4" fillId="0" borderId="9" xfId="0" applyFont="1" applyFill="1" applyBorder="1"/>
    <xf numFmtId="0" fontId="13" fillId="0" borderId="2" xfId="0" applyFont="1" applyFill="1" applyBorder="1"/>
    <xf numFmtId="49" fontId="5" fillId="8" borderId="7" xfId="0" applyNumberFormat="1" applyFont="1" applyFill="1" applyBorder="1" applyAlignment="1">
      <alignment horizontal="left" indent="2"/>
    </xf>
    <xf numFmtId="0" fontId="5" fillId="8" borderId="7" xfId="0" applyFont="1" applyFill="1" applyBorder="1" applyAlignment="1">
      <alignment horizontal="left"/>
    </xf>
    <xf numFmtId="0" fontId="15" fillId="8" borderId="7" xfId="0" applyFont="1" applyFill="1" applyBorder="1"/>
    <xf numFmtId="0" fontId="15" fillId="8" borderId="7" xfId="0" applyFont="1" applyFill="1" applyBorder="1" applyAlignment="1">
      <alignment horizontal="center"/>
    </xf>
    <xf numFmtId="3" fontId="15" fillId="8" borderId="7" xfId="0" applyNumberFormat="1" applyFont="1" applyFill="1" applyBorder="1"/>
    <xf numFmtId="189" fontId="5" fillId="8" borderId="7" xfId="5" applyNumberFormat="1" applyFont="1" applyFill="1" applyBorder="1"/>
    <xf numFmtId="49" fontId="5" fillId="8" borderId="7" xfId="0" applyNumberFormat="1" applyFont="1" applyFill="1" applyBorder="1" applyAlignment="1"/>
    <xf numFmtId="0" fontId="5" fillId="0" borderId="9" xfId="0" applyFont="1" applyFill="1" applyBorder="1"/>
    <xf numFmtId="0" fontId="5" fillId="0" borderId="15" xfId="0" applyFont="1" applyFill="1" applyBorder="1" applyAlignment="1">
      <alignment horizontal="left" vertical="top"/>
    </xf>
    <xf numFmtId="190" fontId="5" fillId="0" borderId="9" xfId="5" applyNumberFormat="1" applyFont="1" applyFill="1" applyBorder="1"/>
    <xf numFmtId="49" fontId="5" fillId="0" borderId="4" xfId="0" applyNumberFormat="1" applyFont="1" applyFill="1" applyBorder="1"/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/>
    <xf numFmtId="189" fontId="5" fillId="0" borderId="7" xfId="5" applyNumberFormat="1" applyFont="1" applyFill="1" applyBorder="1"/>
    <xf numFmtId="49" fontId="5" fillId="0" borderId="17" xfId="0" applyNumberFormat="1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/>
    <xf numFmtId="189" fontId="5" fillId="0" borderId="6" xfId="5" applyNumberFormat="1" applyFont="1" applyFill="1" applyBorder="1"/>
    <xf numFmtId="189" fontId="15" fillId="0" borderId="6" xfId="5" applyNumberFormat="1" applyFont="1" applyFill="1" applyBorder="1"/>
    <xf numFmtId="0" fontId="45" fillId="0" borderId="0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/>
    </xf>
    <xf numFmtId="49" fontId="45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 wrapText="1"/>
    </xf>
    <xf numFmtId="189" fontId="45" fillId="0" borderId="17" xfId="5" applyNumberFormat="1" applyFont="1" applyFill="1" applyBorder="1" applyAlignment="1">
      <alignment horizontal="center" vertical="center" wrapText="1"/>
    </xf>
    <xf numFmtId="0" fontId="45" fillId="0" borderId="18" xfId="6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189" fontId="45" fillId="0" borderId="18" xfId="5" applyNumberFormat="1" applyFont="1" applyFill="1" applyBorder="1" applyAlignment="1">
      <alignment horizontal="center" vertical="center" wrapText="1"/>
    </xf>
    <xf numFmtId="0" fontId="45" fillId="0" borderId="9" xfId="0" applyFont="1" applyFill="1" applyBorder="1"/>
    <xf numFmtId="0" fontId="45" fillId="0" borderId="15" xfId="0" applyFont="1" applyFill="1" applyBorder="1" applyAlignment="1">
      <alignment horizontal="left" vertical="top"/>
    </xf>
    <xf numFmtId="0" fontId="45" fillId="0" borderId="9" xfId="0" applyFont="1" applyFill="1" applyBorder="1" applyAlignment="1">
      <alignment horizontal="center"/>
    </xf>
    <xf numFmtId="190" fontId="45" fillId="0" borderId="9" xfId="5" applyNumberFormat="1" applyFont="1" applyFill="1" applyBorder="1"/>
    <xf numFmtId="0" fontId="45" fillId="0" borderId="2" xfId="0" applyFont="1" applyFill="1" applyBorder="1"/>
    <xf numFmtId="0" fontId="45" fillId="0" borderId="0" xfId="0" applyFont="1" applyFill="1" applyBorder="1"/>
    <xf numFmtId="0" fontId="46" fillId="0" borderId="9" xfId="0" applyFont="1" applyFill="1" applyBorder="1"/>
    <xf numFmtId="49" fontId="45" fillId="0" borderId="4" xfId="0" applyNumberFormat="1" applyFont="1" applyFill="1" applyBorder="1"/>
    <xf numFmtId="0" fontId="46" fillId="0" borderId="7" xfId="0" applyFont="1" applyFill="1" applyBorder="1"/>
    <xf numFmtId="0" fontId="46" fillId="2" borderId="7" xfId="0" applyFont="1" applyFill="1" applyBorder="1" applyAlignment="1">
      <alignment horizontal="center"/>
    </xf>
    <xf numFmtId="0" fontId="46" fillId="2" borderId="7" xfId="0" applyFont="1" applyFill="1" applyBorder="1"/>
    <xf numFmtId="189" fontId="45" fillId="0" borderId="7" xfId="5" applyNumberFormat="1" applyFont="1" applyFill="1" applyBorder="1"/>
    <xf numFmtId="189" fontId="46" fillId="0" borderId="7" xfId="5" applyNumberFormat="1" applyFont="1" applyFill="1" applyBorder="1"/>
    <xf numFmtId="0" fontId="46" fillId="0" borderId="0" xfId="0" applyFont="1" applyFill="1" applyBorder="1"/>
    <xf numFmtId="49" fontId="45" fillId="0" borderId="17" xfId="0" applyNumberFormat="1" applyFont="1" applyFill="1" applyBorder="1" applyAlignment="1">
      <alignment horizontal="left"/>
    </xf>
    <xf numFmtId="0" fontId="46" fillId="0" borderId="6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/>
    <xf numFmtId="0" fontId="46" fillId="2" borderId="6" xfId="0" applyFont="1" applyFill="1" applyBorder="1" applyAlignment="1">
      <alignment horizontal="center"/>
    </xf>
    <xf numFmtId="0" fontId="46" fillId="2" borderId="6" xfId="0" applyFont="1" applyFill="1" applyBorder="1"/>
    <xf numFmtId="189" fontId="45" fillId="0" borderId="6" xfId="5" applyNumberFormat="1" applyFont="1" applyFill="1" applyBorder="1"/>
    <xf numFmtId="189" fontId="46" fillId="0" borderId="6" xfId="5" applyNumberFormat="1" applyFont="1" applyFill="1" applyBorder="1"/>
    <xf numFmtId="49" fontId="45" fillId="0" borderId="7" xfId="0" applyNumberFormat="1" applyFont="1" applyFill="1" applyBorder="1" applyAlignment="1">
      <alignment horizontal="left"/>
    </xf>
    <xf numFmtId="0" fontId="46" fillId="0" borderId="7" xfId="0" applyFont="1" applyFill="1" applyBorder="1" applyAlignment="1">
      <alignment horizontal="left"/>
    </xf>
    <xf numFmtId="0" fontId="45" fillId="0" borderId="7" xfId="0" applyFont="1" applyFill="1" applyBorder="1" applyAlignment="1">
      <alignment horizontal="left"/>
    </xf>
    <xf numFmtId="49" fontId="45" fillId="3" borderId="7" xfId="0" applyNumberFormat="1" applyFont="1" applyFill="1" applyBorder="1" applyAlignment="1">
      <alignment horizontal="left" indent="2"/>
    </xf>
    <xf numFmtId="0" fontId="46" fillId="3" borderId="7" xfId="0" applyFont="1" applyFill="1" applyBorder="1"/>
    <xf numFmtId="0" fontId="46" fillId="3" borderId="7" xfId="0" applyFont="1" applyFill="1" applyBorder="1" applyAlignment="1">
      <alignment horizontal="center"/>
    </xf>
    <xf numFmtId="189" fontId="45" fillId="3" borderId="7" xfId="5" applyNumberFormat="1" applyFont="1" applyFill="1" applyBorder="1"/>
    <xf numFmtId="189" fontId="46" fillId="0" borderId="0" xfId="0" applyNumberFormat="1" applyFont="1" applyFill="1" applyBorder="1"/>
    <xf numFmtId="49" fontId="46" fillId="0" borderId="7" xfId="0" applyNumberFormat="1" applyFont="1" applyFill="1" applyBorder="1" applyAlignment="1">
      <alignment horizontal="left" indent="2"/>
    </xf>
    <xf numFmtId="0" fontId="46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 vertical="center"/>
    </xf>
    <xf numFmtId="3" fontId="46" fillId="0" borderId="7" xfId="0" applyNumberFormat="1" applyFont="1" applyFill="1" applyBorder="1"/>
    <xf numFmtId="190" fontId="46" fillId="0" borderId="7" xfId="5" applyNumberFormat="1" applyFont="1" applyFill="1" applyBorder="1"/>
    <xf numFmtId="49" fontId="46" fillId="0" borderId="7" xfId="0" applyNumberFormat="1" applyFont="1" applyFill="1" applyBorder="1" applyAlignment="1">
      <alignment horizontal="left"/>
    </xf>
    <xf numFmtId="0" fontId="46" fillId="3" borderId="6" xfId="0" applyFont="1" applyFill="1" applyBorder="1" applyAlignment="1">
      <alignment horizontal="center"/>
    </xf>
    <xf numFmtId="0" fontId="46" fillId="0" borderId="7" xfId="0" applyFont="1" applyFill="1" applyBorder="1" applyAlignment="1">
      <alignment vertical="center"/>
    </xf>
    <xf numFmtId="0" fontId="46" fillId="0" borderId="4" xfId="0" applyFont="1" applyFill="1" applyBorder="1"/>
    <xf numFmtId="190" fontId="46" fillId="0" borderId="6" xfId="5" applyNumberFormat="1" applyFont="1" applyFill="1" applyBorder="1"/>
    <xf numFmtId="49" fontId="45" fillId="3" borderId="6" xfId="0" applyNumberFormat="1" applyFont="1" applyFill="1" applyBorder="1" applyAlignment="1">
      <alignment horizontal="left" indent="2"/>
    </xf>
    <xf numFmtId="190" fontId="45" fillId="0" borderId="7" xfId="5" applyNumberFormat="1" applyFont="1" applyFill="1" applyBorder="1"/>
    <xf numFmtId="49" fontId="49" fillId="4" borderId="7" xfId="0" applyNumberFormat="1" applyFont="1" applyFill="1" applyBorder="1" applyAlignment="1">
      <alignment horizontal="left" indent="2"/>
    </xf>
    <xf numFmtId="0" fontId="49" fillId="4" borderId="7" xfId="0" applyFont="1" applyFill="1" applyBorder="1"/>
    <xf numFmtId="0" fontId="49" fillId="4" borderId="7" xfId="0" applyFont="1" applyFill="1" applyBorder="1" applyAlignment="1">
      <alignment horizontal="center"/>
    </xf>
    <xf numFmtId="190" fontId="46" fillId="0" borderId="3" xfId="5" applyNumberFormat="1" applyFont="1" applyFill="1" applyBorder="1"/>
    <xf numFmtId="0" fontId="46" fillId="0" borderId="7" xfId="0" applyFont="1" applyFill="1" applyBorder="1" applyAlignment="1">
      <alignment horizontal="left" wrapText="1"/>
    </xf>
    <xf numFmtId="190" fontId="46" fillId="0" borderId="14" xfId="5" applyNumberFormat="1" applyFont="1" applyFill="1" applyBorder="1"/>
    <xf numFmtId="3" fontId="46" fillId="3" borderId="7" xfId="0" applyNumberFormat="1" applyFont="1" applyFill="1" applyBorder="1"/>
    <xf numFmtId="190" fontId="45" fillId="0" borderId="3" xfId="5" applyNumberFormat="1" applyFont="1" applyFill="1" applyBorder="1"/>
    <xf numFmtId="49" fontId="46" fillId="0" borderId="7" xfId="0" applyNumberFormat="1" applyFont="1" applyFill="1" applyBorder="1" applyAlignment="1">
      <alignment horizontal="left" vertical="top" wrapText="1" indent="2"/>
    </xf>
    <xf numFmtId="49" fontId="46" fillId="0" borderId="7" xfId="0" applyNumberFormat="1" applyFont="1" applyFill="1" applyBorder="1" applyAlignment="1">
      <alignment horizontal="left" wrapText="1" indent="2"/>
    </xf>
    <xf numFmtId="49" fontId="46" fillId="4" borderId="7" xfId="0" applyNumberFormat="1" applyFont="1" applyFill="1" applyBorder="1" applyAlignment="1">
      <alignment horizontal="left" indent="2"/>
    </xf>
    <xf numFmtId="0" fontId="46" fillId="4" borderId="7" xfId="0" applyFont="1" applyFill="1" applyBorder="1"/>
    <xf numFmtId="0" fontId="46" fillId="0" borderId="7" xfId="0" applyFont="1" applyFill="1" applyBorder="1" applyAlignment="1">
      <alignment horizontal="left" vertical="top" wrapText="1"/>
    </xf>
    <xf numFmtId="190" fontId="45" fillId="4" borderId="7" xfId="5" applyNumberFormat="1" applyFont="1" applyFill="1" applyBorder="1"/>
    <xf numFmtId="49" fontId="47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indent="2"/>
    </xf>
    <xf numFmtId="0" fontId="46" fillId="0" borderId="0" xfId="0" applyFont="1" applyFill="1" applyBorder="1" applyAlignment="1">
      <alignment horizontal="center"/>
    </xf>
    <xf numFmtId="189" fontId="46" fillId="0" borderId="0" xfId="5" applyNumberFormat="1" applyFont="1" applyFill="1" applyBorder="1"/>
    <xf numFmtId="49" fontId="46" fillId="0" borderId="0" xfId="0" applyNumberFormat="1" applyFont="1" applyFill="1" applyBorder="1"/>
    <xf numFmtId="189" fontId="5" fillId="8" borderId="3" xfId="5" applyNumberFormat="1" applyFont="1" applyFill="1" applyBorder="1"/>
    <xf numFmtId="189" fontId="15" fillId="0" borderId="3" xfId="5" applyNumberFormat="1" applyFont="1" applyFill="1" applyBorder="1"/>
    <xf numFmtId="0" fontId="5" fillId="0" borderId="8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/>
    </xf>
    <xf numFmtId="0" fontId="36" fillId="0" borderId="9" xfId="8" applyFont="1" applyFill="1" applyBorder="1" applyAlignment="1">
      <alignment wrapText="1"/>
    </xf>
    <xf numFmtId="0" fontId="36" fillId="0" borderId="0" xfId="8" applyFont="1" applyFill="1" applyBorder="1" applyAlignment="1">
      <alignment wrapText="1"/>
    </xf>
    <xf numFmtId="49" fontId="23" fillId="0" borderId="7" xfId="0" applyNumberFormat="1" applyFont="1" applyFill="1" applyBorder="1" applyAlignment="1">
      <alignment vertical="top"/>
    </xf>
    <xf numFmtId="0" fontId="36" fillId="0" borderId="7" xfId="8" applyFont="1" applyFill="1" applyBorder="1" applyAlignment="1">
      <alignment wrapText="1"/>
    </xf>
    <xf numFmtId="0" fontId="36" fillId="2" borderId="7" xfId="8" applyFont="1" applyFill="1" applyBorder="1" applyAlignment="1">
      <alignment wrapText="1"/>
    </xf>
    <xf numFmtId="189" fontId="23" fillId="5" borderId="7" xfId="5" applyNumberFormat="1" applyFont="1" applyFill="1" applyBorder="1" applyAlignment="1">
      <alignment wrapText="1"/>
    </xf>
    <xf numFmtId="189" fontId="36" fillId="0" borderId="7" xfId="5" applyNumberFormat="1" applyFont="1" applyFill="1" applyBorder="1" applyAlignment="1">
      <alignment wrapText="1"/>
    </xf>
    <xf numFmtId="3" fontId="36" fillId="0" borderId="0" xfId="8" applyNumberFormat="1" applyFont="1" applyFill="1" applyBorder="1" applyAlignment="1">
      <alignment wrapText="1"/>
    </xf>
    <xf numFmtId="0" fontId="23" fillId="0" borderId="7" xfId="0" applyFont="1" applyFill="1" applyBorder="1" applyAlignment="1">
      <alignment horizontal="left" vertical="top"/>
    </xf>
    <xf numFmtId="189" fontId="36" fillId="0" borderId="7" xfId="8" applyNumberFormat="1" applyFont="1" applyFill="1" applyBorder="1" applyAlignment="1">
      <alignment wrapText="1"/>
    </xf>
    <xf numFmtId="0" fontId="36" fillId="0" borderId="9" xfId="8" applyFont="1" applyFill="1" applyBorder="1"/>
    <xf numFmtId="0" fontId="36" fillId="0" borderId="7" xfId="8" applyFont="1" applyFill="1" applyBorder="1"/>
    <xf numFmtId="0" fontId="36" fillId="2" borderId="7" xfId="8" applyFont="1" applyFill="1" applyBorder="1"/>
    <xf numFmtId="0" fontId="23" fillId="0" borderId="7" xfId="8" applyFont="1" applyFill="1" applyBorder="1" applyAlignment="1">
      <alignment horizontal="left"/>
    </xf>
    <xf numFmtId="0" fontId="49" fillId="0" borderId="9" xfId="8" applyFont="1" applyFill="1" applyBorder="1"/>
    <xf numFmtId="0" fontId="49" fillId="0" borderId="0" xfId="8" applyFont="1" applyFill="1" applyBorder="1"/>
    <xf numFmtId="0" fontId="50" fillId="0" borderId="7" xfId="8" applyFont="1" applyFill="1" applyBorder="1" applyAlignment="1">
      <alignment horizontal="left" indent="2"/>
    </xf>
    <xf numFmtId="0" fontId="49" fillId="2" borderId="7" xfId="8" applyFont="1" applyFill="1" applyBorder="1"/>
    <xf numFmtId="189" fontId="49" fillId="2" borderId="7" xfId="5" applyNumberFormat="1" applyFont="1" applyFill="1" applyBorder="1"/>
    <xf numFmtId="189" fontId="50" fillId="4" borderId="7" xfId="5" applyNumberFormat="1" applyFont="1" applyFill="1" applyBorder="1"/>
    <xf numFmtId="192" fontId="49" fillId="0" borderId="7" xfId="8" applyNumberFormat="1" applyFont="1" applyFill="1" applyBorder="1"/>
    <xf numFmtId="3" fontId="49" fillId="0" borderId="0" xfId="8" applyNumberFormat="1" applyFont="1" applyFill="1" applyBorder="1"/>
    <xf numFmtId="0" fontId="49" fillId="0" borderId="7" xfId="0" applyFont="1" applyFill="1" applyBorder="1" applyAlignment="1">
      <alignment horizontal="left"/>
    </xf>
    <xf numFmtId="0" fontId="49" fillId="4" borderId="7" xfId="7" applyFont="1" applyFill="1" applyBorder="1" applyAlignment="1">
      <alignment horizontal="center"/>
    </xf>
    <xf numFmtId="0" fontId="49" fillId="3" borderId="7" xfId="0" applyFont="1" applyFill="1" applyBorder="1"/>
    <xf numFmtId="0" fontId="52" fillId="4" borderId="7" xfId="7" applyFont="1" applyFill="1" applyBorder="1" applyAlignment="1">
      <alignment horizontal="center"/>
    </xf>
    <xf numFmtId="0" fontId="49" fillId="0" borderId="7" xfId="8" applyFont="1" applyFill="1" applyBorder="1" applyAlignment="1">
      <alignment wrapText="1"/>
    </xf>
    <xf numFmtId="193" fontId="49" fillId="0" borderId="7" xfId="9" applyNumberFormat="1" applyFont="1" applyFill="1" applyBorder="1" applyAlignment="1">
      <alignment wrapText="1"/>
    </xf>
    <xf numFmtId="189" fontId="49" fillId="0" borderId="7" xfId="5" applyNumberFormat="1" applyFont="1" applyFill="1" applyBorder="1" applyAlignment="1">
      <alignment wrapText="1"/>
    </xf>
    <xf numFmtId="192" fontId="49" fillId="0" borderId="7" xfId="9" applyNumberFormat="1" applyFont="1" applyFill="1" applyBorder="1" applyAlignment="1">
      <alignment wrapText="1"/>
    </xf>
    <xf numFmtId="0" fontId="49" fillId="0" borderId="7" xfId="0" applyFont="1" applyFill="1" applyBorder="1" applyAlignment="1"/>
    <xf numFmtId="0" fontId="49" fillId="2" borderId="7" xfId="8" applyFont="1" applyFill="1" applyBorder="1" applyAlignment="1">
      <alignment horizontal="center"/>
    </xf>
    <xf numFmtId="193" fontId="49" fillId="2" borderId="7" xfId="9" applyNumberFormat="1" applyFont="1" applyFill="1" applyBorder="1" applyAlignment="1">
      <alignment horizontal="center"/>
    </xf>
    <xf numFmtId="189" fontId="50" fillId="4" borderId="7" xfId="5" applyNumberFormat="1" applyFont="1" applyFill="1" applyBorder="1" applyAlignment="1">
      <alignment wrapText="1"/>
    </xf>
    <xf numFmtId="192" fontId="50" fillId="0" borderId="7" xfId="9" applyNumberFormat="1" applyFont="1" applyFill="1" applyBorder="1" applyAlignment="1">
      <alignment wrapText="1"/>
    </xf>
    <xf numFmtId="0" fontId="49" fillId="0" borderId="7" xfId="8" applyFont="1" applyFill="1" applyBorder="1" applyAlignment="1">
      <alignment horizontal="left" vertical="top"/>
    </xf>
    <xf numFmtId="0" fontId="49" fillId="2" borderId="7" xfId="8" applyFont="1" applyFill="1" applyBorder="1" applyAlignment="1">
      <alignment wrapText="1"/>
    </xf>
    <xf numFmtId="0" fontId="49" fillId="4" borderId="7" xfId="8" applyFont="1" applyFill="1" applyBorder="1" applyAlignment="1">
      <alignment horizontal="center"/>
    </xf>
    <xf numFmtId="189" fontId="49" fillId="4" borderId="7" xfId="5" applyNumberFormat="1" applyFont="1" applyFill="1" applyBorder="1" applyAlignment="1">
      <alignment wrapText="1"/>
    </xf>
    <xf numFmtId="0" fontId="49" fillId="0" borderId="9" xfId="8" applyFont="1" applyFill="1" applyBorder="1" applyAlignment="1">
      <alignment wrapText="1"/>
    </xf>
    <xf numFmtId="0" fontId="49" fillId="0" borderId="0" xfId="8" applyFont="1" applyFill="1" applyBorder="1" applyAlignment="1">
      <alignment wrapText="1"/>
    </xf>
    <xf numFmtId="0" fontId="49" fillId="2" borderId="7" xfId="8" applyFont="1" applyFill="1" applyBorder="1" applyAlignment="1"/>
    <xf numFmtId="189" fontId="50" fillId="4" borderId="7" xfId="5" applyNumberFormat="1" applyFont="1" applyFill="1" applyBorder="1" applyAlignment="1">
      <alignment horizontal="right"/>
    </xf>
    <xf numFmtId="3" fontId="50" fillId="4" borderId="7" xfId="8" applyNumberFormat="1" applyFont="1" applyFill="1" applyBorder="1" applyAlignment="1">
      <alignment horizontal="right"/>
    </xf>
    <xf numFmtId="0" fontId="49" fillId="0" borderId="7" xfId="0" applyFont="1" applyFill="1" applyBorder="1"/>
    <xf numFmtId="0" fontId="50" fillId="4" borderId="7" xfId="7" applyFont="1" applyFill="1" applyBorder="1" applyAlignment="1">
      <alignment vertical="top"/>
    </xf>
    <xf numFmtId="0" fontId="49" fillId="4" borderId="7" xfId="8" applyFont="1" applyFill="1" applyBorder="1" applyAlignment="1">
      <alignment wrapText="1"/>
    </xf>
    <xf numFmtId="0" fontId="49" fillId="3" borderId="7" xfId="8" applyFont="1" applyFill="1" applyBorder="1" applyAlignment="1">
      <alignment wrapText="1"/>
    </xf>
    <xf numFmtId="193" fontId="50" fillId="4" borderId="7" xfId="8" applyNumberFormat="1" applyFont="1" applyFill="1" applyBorder="1" applyAlignment="1">
      <alignment wrapText="1"/>
    </xf>
    <xf numFmtId="187" fontId="50" fillId="4" borderId="7" xfId="8" applyNumberFormat="1" applyFont="1" applyFill="1" applyBorder="1" applyAlignment="1">
      <alignment wrapText="1"/>
    </xf>
    <xf numFmtId="0" fontId="53" fillId="0" borderId="0" xfId="0" applyFont="1" applyFill="1" applyBorder="1"/>
    <xf numFmtId="193" fontId="49" fillId="4" borderId="7" xfId="9" applyNumberFormat="1" applyFont="1" applyFill="1" applyBorder="1" applyAlignment="1">
      <alignment wrapText="1"/>
    </xf>
    <xf numFmtId="0" fontId="49" fillId="4" borderId="7" xfId="8" applyFont="1" applyFill="1" applyBorder="1" applyAlignment="1">
      <alignment horizontal="center" wrapText="1"/>
    </xf>
    <xf numFmtId="189" fontId="49" fillId="4" borderId="7" xfId="5" applyNumberFormat="1" applyFont="1" applyFill="1" applyBorder="1" applyAlignment="1">
      <alignment horizontal="right" vertical="top" wrapText="1"/>
    </xf>
    <xf numFmtId="193" fontId="49" fillId="4" borderId="7" xfId="9" applyNumberFormat="1" applyFont="1" applyFill="1" applyBorder="1" applyAlignment="1">
      <alignment horizontal="right" vertical="top" wrapText="1"/>
    </xf>
    <xf numFmtId="193" fontId="49" fillId="0" borderId="0" xfId="8" applyNumberFormat="1" applyFont="1" applyFill="1" applyBorder="1" applyAlignment="1">
      <alignment wrapText="1"/>
    </xf>
    <xf numFmtId="192" fontId="49" fillId="4" borderId="7" xfId="9" applyNumberFormat="1" applyFont="1" applyFill="1" applyBorder="1" applyAlignment="1">
      <alignment horizontal="right" vertical="top" wrapText="1"/>
    </xf>
    <xf numFmtId="189" fontId="50" fillId="4" borderId="7" xfId="5" applyNumberFormat="1" applyFont="1" applyFill="1" applyBorder="1" applyAlignment="1">
      <alignment horizontal="right" vertical="top"/>
    </xf>
    <xf numFmtId="194" fontId="50" fillId="4" borderId="7" xfId="9" applyNumberFormat="1" applyFont="1" applyFill="1" applyBorder="1" applyAlignment="1">
      <alignment horizontal="right" vertical="top"/>
    </xf>
    <xf numFmtId="0" fontId="49" fillId="0" borderId="7" xfId="0" applyFont="1" applyFill="1" applyBorder="1" applyAlignment="1">
      <alignment vertical="center"/>
    </xf>
    <xf numFmtId="0" fontId="49" fillId="3" borderId="7" xfId="8" applyFont="1" applyFill="1" applyBorder="1" applyAlignment="1">
      <alignment vertical="top" wrapText="1"/>
    </xf>
    <xf numFmtId="189" fontId="49" fillId="4" borderId="7" xfId="5" applyNumberFormat="1" applyFont="1" applyFill="1" applyBorder="1" applyAlignment="1">
      <alignment vertical="center"/>
    </xf>
    <xf numFmtId="0" fontId="49" fillId="0" borderId="7" xfId="7" applyFont="1" applyFill="1" applyBorder="1" applyAlignment="1">
      <alignment horizontal="left" vertical="top" wrapText="1"/>
    </xf>
    <xf numFmtId="192" fontId="49" fillId="4" borderId="7" xfId="9" applyNumberFormat="1" applyFont="1" applyFill="1" applyBorder="1" applyAlignment="1">
      <alignment vertical="center"/>
    </xf>
    <xf numFmtId="0" fontId="49" fillId="3" borderId="7" xfId="8" applyFont="1" applyFill="1" applyBorder="1" applyAlignment="1"/>
    <xf numFmtId="0" fontId="50" fillId="0" borderId="7" xfId="8" applyFont="1" applyFill="1" applyBorder="1" applyAlignment="1">
      <alignment vertical="center"/>
    </xf>
    <xf numFmtId="0" fontId="50" fillId="4" borderId="7" xfId="8" applyFont="1" applyFill="1" applyBorder="1" applyAlignment="1">
      <alignment vertical="top" wrapText="1"/>
    </xf>
    <xf numFmtId="0" fontId="50" fillId="4" borderId="7" xfId="8" applyFont="1" applyFill="1" applyBorder="1" applyAlignment="1">
      <alignment wrapText="1"/>
    </xf>
    <xf numFmtId="189" fontId="50" fillId="4" borderId="7" xfId="5" applyNumberFormat="1" applyFont="1" applyFill="1" applyBorder="1" applyAlignment="1">
      <alignment horizontal="right" vertical="top" wrapText="1"/>
    </xf>
    <xf numFmtId="192" fontId="50" fillId="4" borderId="7" xfId="9" applyNumberFormat="1" applyFont="1" applyFill="1" applyBorder="1" applyAlignment="1">
      <alignment horizontal="right" vertical="top" wrapText="1"/>
    </xf>
    <xf numFmtId="0" fontId="49" fillId="0" borderId="7" xfId="7" applyFont="1" applyFill="1" applyBorder="1" applyAlignment="1">
      <alignment vertical="top" wrapText="1"/>
    </xf>
    <xf numFmtId="0" fontId="49" fillId="0" borderId="7" xfId="7" applyFont="1" applyFill="1" applyBorder="1" applyAlignment="1">
      <alignment horizontal="left" vertical="top"/>
    </xf>
    <xf numFmtId="0" fontId="49" fillId="4" borderId="7" xfId="8" applyFont="1" applyFill="1" applyBorder="1" applyAlignment="1">
      <alignment vertical="top" wrapText="1"/>
    </xf>
    <xf numFmtId="0" fontId="49" fillId="3" borderId="7" xfId="8" applyFont="1" applyFill="1" applyBorder="1" applyAlignment="1">
      <alignment vertical="center" wrapText="1"/>
    </xf>
    <xf numFmtId="0" fontId="49" fillId="0" borderId="7" xfId="0" applyFont="1" applyFill="1" applyBorder="1" applyAlignment="1">
      <alignment horizontal="left" vertical="top" wrapText="1"/>
    </xf>
    <xf numFmtId="0" fontId="49" fillId="0" borderId="7" xfId="0" applyFont="1" applyFill="1" applyBorder="1" applyAlignment="1">
      <alignment vertical="top" wrapText="1"/>
    </xf>
    <xf numFmtId="193" fontId="49" fillId="4" borderId="7" xfId="9" applyNumberFormat="1" applyFont="1" applyFill="1" applyBorder="1" applyAlignment="1">
      <alignment vertical="center"/>
    </xf>
    <xf numFmtId="194" fontId="50" fillId="4" borderId="7" xfId="9" applyNumberFormat="1" applyFont="1" applyFill="1" applyBorder="1" applyAlignment="1">
      <alignment horizontal="right" vertical="top" wrapText="1"/>
    </xf>
    <xf numFmtId="193" fontId="50" fillId="4" borderId="7" xfId="9" applyNumberFormat="1" applyFont="1" applyFill="1" applyBorder="1" applyAlignment="1">
      <alignment horizontal="right" vertical="top" wrapText="1"/>
    </xf>
    <xf numFmtId="0" fontId="49" fillId="0" borderId="7" xfId="7" applyFont="1" applyFill="1" applyBorder="1" applyAlignment="1">
      <alignment vertical="top"/>
    </xf>
    <xf numFmtId="194" fontId="49" fillId="4" borderId="7" xfId="9" applyNumberFormat="1" applyFont="1" applyFill="1" applyBorder="1" applyAlignment="1">
      <alignment horizontal="right" vertical="top" wrapText="1"/>
    </xf>
    <xf numFmtId="0" fontId="49" fillId="0" borderId="7" xfId="7" applyFont="1" applyFill="1" applyBorder="1" applyAlignment="1"/>
    <xf numFmtId="0" fontId="49" fillId="0" borderId="7" xfId="7" applyFont="1" applyFill="1" applyBorder="1" applyAlignment="1">
      <alignment horizontal="left"/>
    </xf>
    <xf numFmtId="0" fontId="49" fillId="4" borderId="7" xfId="0" applyFont="1" applyFill="1" applyBorder="1" applyAlignment="1"/>
    <xf numFmtId="0" fontId="49" fillId="7" borderId="7" xfId="8" applyFont="1" applyFill="1" applyBorder="1" applyAlignment="1">
      <alignment wrapText="1"/>
    </xf>
    <xf numFmtId="193" fontId="49" fillId="7" borderId="7" xfId="9" applyNumberFormat="1" applyFont="1" applyFill="1" applyBorder="1" applyAlignment="1">
      <alignment wrapText="1"/>
    </xf>
    <xf numFmtId="194" fontId="50" fillId="4" borderId="7" xfId="9" applyNumberFormat="1" applyFont="1" applyFill="1" applyBorder="1" applyAlignment="1">
      <alignment horizontal="right"/>
    </xf>
    <xf numFmtId="0" fontId="50" fillId="0" borderId="7" xfId="7" applyFont="1" applyFill="1" applyBorder="1" applyAlignment="1">
      <alignment vertical="top"/>
    </xf>
    <xf numFmtId="187" fontId="49" fillId="4" borderId="7" xfId="9" applyNumberFormat="1" applyFont="1" applyFill="1" applyBorder="1" applyAlignment="1">
      <alignment horizontal="right" vertical="top" wrapText="1"/>
    </xf>
    <xf numFmtId="0" fontId="50" fillId="3" borderId="7" xfId="8" applyFont="1" applyFill="1" applyBorder="1" applyAlignment="1">
      <alignment vertical="top" wrapText="1"/>
    </xf>
    <xf numFmtId="0" fontId="50" fillId="3" borderId="7" xfId="8" applyFont="1" applyFill="1" applyBorder="1" applyAlignment="1">
      <alignment wrapText="1"/>
    </xf>
    <xf numFmtId="189" fontId="50" fillId="4" borderId="7" xfId="5" applyNumberFormat="1" applyFont="1" applyFill="1" applyBorder="1" applyAlignment="1">
      <alignment horizontal="right" vertical="center" wrapText="1"/>
    </xf>
    <xf numFmtId="189" fontId="49" fillId="4" borderId="7" xfId="5" applyNumberFormat="1" applyFont="1" applyFill="1" applyBorder="1" applyAlignment="1">
      <alignment horizontal="right" vertical="center" wrapText="1"/>
    </xf>
    <xf numFmtId="189" fontId="49" fillId="4" borderId="7" xfId="5" applyNumberFormat="1" applyFont="1" applyFill="1" applyBorder="1" applyAlignment="1">
      <alignment horizontal="right"/>
    </xf>
    <xf numFmtId="192" fontId="49" fillId="4" borderId="7" xfId="9" applyNumberFormat="1" applyFont="1" applyFill="1" applyBorder="1" applyAlignment="1">
      <alignment horizontal="right"/>
    </xf>
    <xf numFmtId="0" fontId="49" fillId="0" borderId="9" xfId="8" applyFont="1" applyFill="1" applyBorder="1" applyAlignment="1">
      <alignment vertical="center" wrapText="1"/>
    </xf>
    <xf numFmtId="0" fontId="49" fillId="0" borderId="0" xfId="8" applyFont="1" applyFill="1" applyBorder="1" applyAlignment="1">
      <alignment vertical="center" wrapText="1"/>
    </xf>
    <xf numFmtId="193" fontId="49" fillId="3" borderId="7" xfId="9" applyNumberFormat="1" applyFont="1" applyFill="1" applyBorder="1" applyAlignment="1">
      <alignment vertical="center" wrapText="1"/>
    </xf>
    <xf numFmtId="189" fontId="50" fillId="4" borderId="7" xfId="5" applyNumberFormat="1" applyFont="1" applyFill="1" applyBorder="1" applyAlignment="1">
      <alignment horizontal="right" vertical="center"/>
    </xf>
    <xf numFmtId="192" fontId="50" fillId="4" borderId="7" xfId="9" applyNumberFormat="1" applyFont="1" applyFill="1" applyBorder="1" applyAlignment="1">
      <alignment horizontal="right" vertical="center"/>
    </xf>
    <xf numFmtId="0" fontId="49" fillId="0" borderId="7" xfId="8" applyFont="1" applyFill="1" applyBorder="1" applyAlignment="1">
      <alignment vertical="center" wrapText="1"/>
    </xf>
    <xf numFmtId="0" fontId="49" fillId="0" borderId="7" xfId="8" applyFont="1" applyFill="1" applyBorder="1" applyAlignment="1">
      <alignment vertical="center"/>
    </xf>
    <xf numFmtId="0" fontId="50" fillId="0" borderId="7" xfId="0" applyFont="1" applyFill="1" applyBorder="1" applyAlignment="1">
      <alignment vertical="center" wrapText="1"/>
    </xf>
    <xf numFmtId="0" fontId="49" fillId="2" borderId="7" xfId="8" applyFont="1" applyFill="1" applyBorder="1" applyAlignment="1">
      <alignment vertical="center" wrapText="1"/>
    </xf>
    <xf numFmtId="194" fontId="50" fillId="4" borderId="7" xfId="9" applyNumberFormat="1" applyFont="1" applyFill="1" applyBorder="1" applyAlignment="1">
      <alignment horizontal="right" vertical="center"/>
    </xf>
    <xf numFmtId="192" fontId="50" fillId="4" borderId="7" xfId="9" applyNumberFormat="1" applyFont="1" applyFill="1" applyBorder="1" applyAlignment="1">
      <alignment horizontal="right" vertical="top"/>
    </xf>
    <xf numFmtId="0" fontId="49" fillId="0" borderId="7" xfId="1" quotePrefix="1" applyFont="1" applyFill="1" applyBorder="1" applyAlignment="1">
      <alignment vertical="center"/>
    </xf>
    <xf numFmtId="0" fontId="49" fillId="3" borderId="7" xfId="8" applyFont="1" applyFill="1" applyBorder="1" applyAlignment="1">
      <alignment vertical="center"/>
    </xf>
    <xf numFmtId="193" fontId="49" fillId="4" borderId="7" xfId="9" applyNumberFormat="1" applyFont="1" applyFill="1" applyBorder="1" applyAlignment="1">
      <alignment vertical="center" wrapText="1"/>
    </xf>
    <xf numFmtId="0" fontId="49" fillId="4" borderId="7" xfId="8" applyFont="1" applyFill="1" applyBorder="1" applyAlignment="1">
      <alignment horizontal="center" vertical="center" wrapText="1"/>
    </xf>
    <xf numFmtId="0" fontId="49" fillId="4" borderId="7" xfId="8" applyFont="1" applyFill="1" applyBorder="1" applyAlignment="1">
      <alignment vertical="center" wrapText="1"/>
    </xf>
    <xf numFmtId="192" fontId="49" fillId="4" borderId="7" xfId="9" applyNumberFormat="1" applyFont="1" applyFill="1" applyBorder="1" applyAlignment="1">
      <alignment horizontal="right" vertical="center" wrapText="1"/>
    </xf>
    <xf numFmtId="193" fontId="49" fillId="4" borderId="7" xfId="9" applyNumberFormat="1" applyFont="1" applyFill="1" applyBorder="1" applyAlignment="1">
      <alignment horizontal="right" vertical="center" wrapText="1"/>
    </xf>
    <xf numFmtId="192" fontId="50" fillId="4" borderId="7" xfId="9" applyNumberFormat="1" applyFont="1" applyFill="1" applyBorder="1" applyAlignment="1">
      <alignment horizontal="right" vertical="center" wrapText="1"/>
    </xf>
    <xf numFmtId="194" fontId="50" fillId="4" borderId="7" xfId="9" applyNumberFormat="1" applyFont="1" applyFill="1" applyBorder="1" applyAlignment="1">
      <alignment horizontal="right" vertical="center" wrapText="1"/>
    </xf>
    <xf numFmtId="193" fontId="49" fillId="0" borderId="0" xfId="8" applyNumberFormat="1" applyFont="1" applyFill="1" applyBorder="1" applyAlignment="1">
      <alignment vertical="center" wrapText="1"/>
    </xf>
    <xf numFmtId="0" fontId="50" fillId="0" borderId="7" xfId="7" applyFont="1" applyFill="1" applyBorder="1" applyAlignment="1">
      <alignment vertical="center" wrapText="1"/>
    </xf>
    <xf numFmtId="0" fontId="50" fillId="3" borderId="7" xfId="8" applyFont="1" applyFill="1" applyBorder="1" applyAlignment="1">
      <alignment vertical="center" wrapText="1"/>
    </xf>
    <xf numFmtId="0" fontId="49" fillId="4" borderId="7" xfId="7" applyFont="1" applyFill="1" applyBorder="1" applyAlignment="1">
      <alignment vertical="center"/>
    </xf>
    <xf numFmtId="3" fontId="54" fillId="4" borderId="7" xfId="0" applyNumberFormat="1" applyFont="1" applyFill="1" applyBorder="1" applyAlignment="1">
      <alignment horizontal="right" vertical="center" wrapText="1"/>
    </xf>
    <xf numFmtId="194" fontId="49" fillId="4" borderId="7" xfId="9" applyNumberFormat="1" applyFont="1" applyFill="1" applyBorder="1" applyAlignment="1">
      <alignment horizontal="right" vertical="center" wrapText="1"/>
    </xf>
    <xf numFmtId="0" fontId="49" fillId="0" borderId="7" xfId="7" applyFont="1" applyFill="1" applyBorder="1" applyAlignment="1">
      <alignment horizontal="left" vertical="center"/>
    </xf>
    <xf numFmtId="0" fontId="50" fillId="0" borderId="7" xfId="7" applyFont="1" applyFill="1" applyBorder="1" applyAlignment="1">
      <alignment vertical="top" wrapText="1"/>
    </xf>
    <xf numFmtId="0" fontId="49" fillId="4" borderId="7" xfId="7" applyFont="1" applyFill="1" applyBorder="1" applyAlignment="1">
      <alignment vertical="top"/>
    </xf>
    <xf numFmtId="0" fontId="50" fillId="0" borderId="7" xfId="0" applyFont="1" applyFill="1" applyBorder="1" applyAlignment="1">
      <alignment vertical="center"/>
    </xf>
    <xf numFmtId="189" fontId="50" fillId="4" borderId="7" xfId="5" applyNumberFormat="1" applyFont="1" applyFill="1" applyBorder="1" applyAlignment="1">
      <alignment vertical="center"/>
    </xf>
    <xf numFmtId="0" fontId="49" fillId="0" borderId="0" xfId="0" applyFont="1" applyFill="1" applyBorder="1" applyAlignment="1"/>
    <xf numFmtId="0" fontId="49" fillId="0" borderId="0" xfId="0" applyFont="1" applyFill="1" applyBorder="1" applyAlignment="1">
      <alignment horizontal="left" indent="2"/>
    </xf>
    <xf numFmtId="0" fontId="49" fillId="0" borderId="0" xfId="0" applyFont="1" applyFill="1" applyBorder="1"/>
    <xf numFmtId="0" fontId="51" fillId="0" borderId="0" xfId="0" applyFont="1" applyFill="1" applyBorder="1" applyAlignment="1"/>
    <xf numFmtId="0" fontId="49" fillId="0" borderId="0" xfId="0" applyFont="1" applyFill="1" applyBorder="1" applyAlignment="1">
      <alignment horizontal="left"/>
    </xf>
    <xf numFmtId="49" fontId="5" fillId="0" borderId="4" xfId="0" applyNumberFormat="1" applyFont="1" applyFill="1" applyBorder="1" applyAlignment="1"/>
    <xf numFmtId="49" fontId="23" fillId="0" borderId="16" xfId="0" applyNumberFormat="1" applyFont="1" applyFill="1" applyBorder="1" applyAlignment="1">
      <alignment vertical="top"/>
    </xf>
    <xf numFmtId="49" fontId="23" fillId="0" borderId="1" xfId="0" applyNumberFormat="1" applyFont="1" applyFill="1" applyBorder="1" applyAlignment="1">
      <alignment vertical="top"/>
    </xf>
    <xf numFmtId="49" fontId="23" fillId="0" borderId="17" xfId="0" applyNumberFormat="1" applyFont="1" applyFill="1" applyBorder="1" applyAlignment="1">
      <alignment vertical="top"/>
    </xf>
    <xf numFmtId="0" fontId="41" fillId="0" borderId="7" xfId="8" applyFont="1" applyFill="1" applyBorder="1" applyAlignment="1">
      <alignment wrapText="1"/>
    </xf>
    <xf numFmtId="0" fontId="55" fillId="0" borderId="0" xfId="8" applyFont="1" applyFill="1" applyBorder="1"/>
    <xf numFmtId="0" fontId="44" fillId="0" borderId="0" xfId="8" applyFont="1" applyFill="1" applyBorder="1"/>
    <xf numFmtId="0" fontId="56" fillId="0" borderId="0" xfId="8" applyFont="1" applyFill="1" applyBorder="1" applyAlignment="1">
      <alignment horizontal="center"/>
    </xf>
    <xf numFmtId="0" fontId="57" fillId="0" borderId="0" xfId="0" applyFont="1" applyFill="1" applyBorder="1"/>
    <xf numFmtId="0" fontId="44" fillId="0" borderId="0" xfId="0" applyFont="1" applyFill="1" applyBorder="1"/>
    <xf numFmtId="0" fontId="44" fillId="0" borderId="0" xfId="8" applyFont="1" applyFill="1" applyBorder="1" applyAlignment="1">
      <alignment wrapText="1"/>
    </xf>
    <xf numFmtId="194" fontId="44" fillId="0" borderId="0" xfId="8" applyNumberFormat="1" applyFont="1" applyFill="1" applyBorder="1" applyAlignment="1">
      <alignment wrapText="1"/>
    </xf>
    <xf numFmtId="0" fontId="44" fillId="0" borderId="0" xfId="8" applyFont="1" applyFill="1" applyBorder="1" applyAlignment="1">
      <alignment vertical="center" wrapText="1"/>
    </xf>
    <xf numFmtId="0" fontId="58" fillId="0" borderId="0" xfId="8" applyFont="1" applyFill="1" applyBorder="1" applyAlignment="1">
      <alignment vertical="top"/>
    </xf>
    <xf numFmtId="0" fontId="59" fillId="0" borderId="0" xfId="8" applyFont="1" applyFill="1" applyBorder="1" applyAlignment="1">
      <alignment vertical="top"/>
    </xf>
    <xf numFmtId="189" fontId="60" fillId="0" borderId="7" xfId="5" applyNumberFormat="1" applyFont="1" applyFill="1" applyBorder="1" applyAlignment="1">
      <alignment horizontal="center" vertical="top" wrapText="1"/>
    </xf>
    <xf numFmtId="190" fontId="61" fillId="0" borderId="9" xfId="5" applyNumberFormat="1" applyFont="1" applyFill="1" applyBorder="1"/>
    <xf numFmtId="189" fontId="61" fillId="0" borderId="7" xfId="5" applyNumberFormat="1" applyFont="1" applyFill="1" applyBorder="1"/>
    <xf numFmtId="189" fontId="62" fillId="0" borderId="7" xfId="8" applyNumberFormat="1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189" fontId="61" fillId="10" borderId="7" xfId="5" applyNumberFormat="1" applyFont="1" applyFill="1" applyBorder="1" applyAlignment="1">
      <alignment wrapText="1"/>
    </xf>
    <xf numFmtId="189" fontId="58" fillId="10" borderId="7" xfId="8" applyNumberFormat="1" applyFont="1" applyFill="1" applyBorder="1" applyAlignment="1">
      <alignment wrapText="1"/>
    </xf>
    <xf numFmtId="0" fontId="6" fillId="0" borderId="11" xfId="6" applyFont="1" applyFill="1" applyBorder="1" applyAlignment="1">
      <alignment horizontal="center" vertical="top" wrapText="1"/>
    </xf>
    <xf numFmtId="0" fontId="6" fillId="0" borderId="11" xfId="8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89" fontId="60" fillId="0" borderId="11" xfId="5" applyNumberFormat="1" applyFont="1" applyFill="1" applyBorder="1" applyAlignment="1">
      <alignment horizontal="center" vertical="top" wrapText="1"/>
    </xf>
    <xf numFmtId="0" fontId="46" fillId="0" borderId="9" xfId="8" applyFont="1" applyFill="1" applyBorder="1" applyAlignment="1">
      <alignment vertical="top"/>
    </xf>
    <xf numFmtId="0" fontId="46" fillId="0" borderId="0" xfId="8" applyFont="1" applyFill="1" applyBorder="1" applyAlignment="1">
      <alignment vertical="top"/>
    </xf>
    <xf numFmtId="0" fontId="45" fillId="3" borderId="7" xfId="8" applyFont="1" applyFill="1" applyBorder="1" applyAlignment="1">
      <alignment horizontal="left" vertical="top"/>
    </xf>
    <xf numFmtId="0" fontId="46" fillId="3" borderId="7" xfId="8" applyFont="1" applyFill="1" applyBorder="1" applyAlignment="1">
      <alignment vertical="top"/>
    </xf>
    <xf numFmtId="0" fontId="46" fillId="2" borderId="7" xfId="8" applyFont="1" applyFill="1" applyBorder="1" applyAlignment="1">
      <alignment vertical="top"/>
    </xf>
    <xf numFmtId="0" fontId="46" fillId="0" borderId="7" xfId="8" applyFont="1" applyFill="1" applyBorder="1" applyAlignment="1">
      <alignment vertical="top"/>
    </xf>
    <xf numFmtId="189" fontId="46" fillId="2" borderId="7" xfId="5" applyNumberFormat="1" applyFont="1" applyFill="1" applyBorder="1" applyAlignment="1">
      <alignment vertical="top"/>
    </xf>
    <xf numFmtId="189" fontId="64" fillId="4" borderId="7" xfId="5" applyNumberFormat="1" applyFont="1" applyFill="1" applyBorder="1" applyAlignment="1">
      <alignment vertical="top"/>
    </xf>
    <xf numFmtId="192" fontId="46" fillId="0" borderId="7" xfId="8" applyNumberFormat="1" applyFont="1" applyFill="1" applyBorder="1" applyAlignment="1">
      <alignment vertical="top"/>
    </xf>
    <xf numFmtId="0" fontId="47" fillId="0" borderId="7" xfId="8" applyFont="1" applyFill="1" applyBorder="1" applyAlignment="1">
      <alignment vertical="top"/>
    </xf>
    <xf numFmtId="3" fontId="46" fillId="0" borderId="0" xfId="8" applyNumberFormat="1" applyFont="1" applyFill="1" applyBorder="1" applyAlignment="1">
      <alignment vertical="top"/>
    </xf>
    <xf numFmtId="0" fontId="46" fillId="4" borderId="7" xfId="7" applyFont="1" applyFill="1" applyBorder="1" applyAlignment="1">
      <alignment horizontal="center" vertical="top"/>
    </xf>
    <xf numFmtId="0" fontId="46" fillId="3" borderId="7" xfId="0" applyFont="1" applyFill="1" applyBorder="1" applyAlignment="1">
      <alignment vertical="top"/>
    </xf>
    <xf numFmtId="0" fontId="48" fillId="4" borderId="7" xfId="7" applyFont="1" applyFill="1" applyBorder="1" applyAlignment="1">
      <alignment horizontal="center" vertical="top"/>
    </xf>
    <xf numFmtId="193" fontId="46" fillId="0" borderId="7" xfId="9" applyNumberFormat="1" applyFont="1" applyFill="1" applyBorder="1" applyAlignment="1">
      <alignment vertical="top"/>
    </xf>
    <xf numFmtId="189" fontId="63" fillId="0" borderId="7" xfId="5" applyNumberFormat="1" applyFont="1" applyFill="1" applyBorder="1" applyAlignment="1">
      <alignment vertical="top"/>
    </xf>
    <xf numFmtId="192" fontId="46" fillId="0" borderId="7" xfId="9" applyNumberFormat="1" applyFont="1" applyFill="1" applyBorder="1" applyAlignment="1">
      <alignment vertical="top"/>
    </xf>
    <xf numFmtId="0" fontId="25" fillId="0" borderId="0" xfId="0" applyFont="1" applyFill="1" applyBorder="1"/>
    <xf numFmtId="0" fontId="46" fillId="3" borderId="7" xfId="8" applyFont="1" applyFill="1" applyBorder="1" applyAlignment="1">
      <alignment horizontal="center" vertical="top"/>
    </xf>
    <xf numFmtId="193" fontId="46" fillId="3" borderId="7" xfId="9" applyNumberFormat="1" applyFont="1" applyFill="1" applyBorder="1" applyAlignment="1">
      <alignment horizontal="center" vertical="top"/>
    </xf>
    <xf numFmtId="192" fontId="45" fillId="0" borderId="7" xfId="9" applyNumberFormat="1" applyFont="1" applyFill="1" applyBorder="1" applyAlignment="1">
      <alignment vertical="top"/>
    </xf>
    <xf numFmtId="0" fontId="46" fillId="0" borderId="7" xfId="8" applyFont="1" applyFill="1" applyBorder="1" applyAlignment="1">
      <alignment horizontal="left" vertical="top"/>
    </xf>
    <xf numFmtId="0" fontId="46" fillId="2" borderId="7" xfId="8" applyFont="1" applyFill="1" applyBorder="1" applyAlignment="1">
      <alignment horizontal="right" vertical="top"/>
    </xf>
    <xf numFmtId="189" fontId="63" fillId="4" borderId="7" xfId="5" applyNumberFormat="1" applyFont="1" applyFill="1" applyBorder="1" applyAlignment="1">
      <alignment vertical="top"/>
    </xf>
    <xf numFmtId="0" fontId="45" fillId="0" borderId="7" xfId="0" applyFont="1" applyFill="1" applyBorder="1" applyAlignment="1">
      <alignment vertical="top"/>
    </xf>
    <xf numFmtId="189" fontId="64" fillId="0" borderId="2" xfId="5" applyNumberFormat="1" applyFont="1" applyFill="1" applyBorder="1" applyAlignment="1">
      <alignment horizontal="center" vertical="top"/>
    </xf>
    <xf numFmtId="192" fontId="46" fillId="0" borderId="2" xfId="9" applyNumberFormat="1" applyFont="1" applyFill="1" applyBorder="1" applyAlignment="1">
      <alignment horizontal="center" vertical="top"/>
    </xf>
    <xf numFmtId="0" fontId="46" fillId="0" borderId="7" xfId="0" applyFont="1" applyFill="1" applyBorder="1" applyAlignment="1">
      <alignment vertical="top"/>
    </xf>
    <xf numFmtId="0" fontId="46" fillId="2" borderId="7" xfId="8" applyFont="1" applyFill="1" applyBorder="1" applyAlignment="1">
      <alignment horizontal="center" vertical="top"/>
    </xf>
    <xf numFmtId="0" fontId="46" fillId="0" borderId="7" xfId="8" applyFont="1" applyFill="1" applyBorder="1" applyAlignment="1">
      <alignment horizontal="center" vertical="top"/>
    </xf>
    <xf numFmtId="0" fontId="46" fillId="3" borderId="3" xfId="0" applyFont="1" applyFill="1" applyBorder="1" applyAlignment="1">
      <alignment vertical="top"/>
    </xf>
    <xf numFmtId="0" fontId="46" fillId="3" borderId="5" xfId="8" applyFont="1" applyFill="1" applyBorder="1" applyAlignment="1">
      <alignment vertical="top"/>
    </xf>
    <xf numFmtId="0" fontId="46" fillId="3" borderId="5" xfId="7" applyFont="1" applyFill="1" applyBorder="1" applyAlignment="1">
      <alignment horizontal="center" vertical="top"/>
    </xf>
    <xf numFmtId="0" fontId="48" fillId="3" borderId="5" xfId="7" applyFont="1" applyFill="1" applyBorder="1" applyAlignment="1">
      <alignment horizontal="center" vertical="top"/>
    </xf>
    <xf numFmtId="0" fontId="46" fillId="3" borderId="5" xfId="8" applyFont="1" applyFill="1" applyBorder="1" applyAlignment="1">
      <alignment horizontal="center" vertical="top"/>
    </xf>
    <xf numFmtId="193" fontId="46" fillId="3" borderId="5" xfId="9" applyNumberFormat="1" applyFont="1" applyFill="1" applyBorder="1" applyAlignment="1">
      <alignment vertical="top"/>
    </xf>
    <xf numFmtId="189" fontId="64" fillId="0" borderId="7" xfId="5" applyNumberFormat="1" applyFont="1" applyFill="1" applyBorder="1" applyAlignment="1">
      <alignment vertical="top"/>
    </xf>
    <xf numFmtId="0" fontId="45" fillId="3" borderId="3" xfId="0" applyFont="1" applyFill="1" applyBorder="1" applyAlignment="1">
      <alignment vertical="top"/>
    </xf>
    <xf numFmtId="0" fontId="49" fillId="0" borderId="7" xfId="0" applyFont="1" applyFill="1" applyBorder="1" applyAlignment="1">
      <alignment vertical="top"/>
    </xf>
    <xf numFmtId="0" fontId="50" fillId="3" borderId="3" xfId="0" applyFont="1" applyFill="1" applyBorder="1" applyAlignment="1">
      <alignment vertical="top"/>
    </xf>
    <xf numFmtId="0" fontId="45" fillId="0" borderId="7" xfId="8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189" fontId="58" fillId="0" borderId="7" xfId="5" applyNumberFormat="1" applyFont="1" applyFill="1" applyBorder="1" applyAlignment="1">
      <alignment vertical="top"/>
    </xf>
    <xf numFmtId="189" fontId="58" fillId="4" borderId="7" xfId="5" applyNumberFormat="1" applyFont="1" applyFill="1" applyBorder="1" applyAlignment="1">
      <alignment vertical="top"/>
    </xf>
    <xf numFmtId="0" fontId="58" fillId="0" borderId="0" xfId="0" applyFont="1" applyFill="1" applyBorder="1" applyAlignment="1">
      <alignment vertical="top"/>
    </xf>
    <xf numFmtId="189" fontId="61" fillId="0" borderId="7" xfId="8" applyNumberFormat="1" applyFont="1" applyFill="1" applyBorder="1" applyAlignment="1">
      <alignment vertical="top"/>
    </xf>
    <xf numFmtId="189" fontId="61" fillId="4" borderId="7" xfId="5" applyNumberFormat="1" applyFont="1" applyFill="1" applyBorder="1" applyAlignment="1">
      <alignment vertical="top"/>
    </xf>
    <xf numFmtId="189" fontId="61" fillId="0" borderId="2" xfId="5" applyNumberFormat="1" applyFont="1" applyFill="1" applyBorder="1" applyAlignment="1">
      <alignment horizontal="center" vertical="top"/>
    </xf>
    <xf numFmtId="189" fontId="61" fillId="0" borderId="7" xfId="5" applyNumberFormat="1" applyFont="1" applyFill="1" applyBorder="1" applyAlignment="1">
      <alignment vertical="top"/>
    </xf>
    <xf numFmtId="0" fontId="15" fillId="0" borderId="9" xfId="8" applyFont="1" applyFill="1" applyBorder="1" applyAlignment="1">
      <alignment wrapText="1"/>
    </xf>
    <xf numFmtId="0" fontId="15" fillId="0" borderId="0" xfId="8" applyFont="1" applyFill="1" applyBorder="1" applyAlignment="1">
      <alignment wrapText="1"/>
    </xf>
    <xf numFmtId="0" fontId="15" fillId="0" borderId="7" xfId="8" applyFont="1" applyFill="1" applyBorder="1" applyAlignment="1">
      <alignment wrapText="1"/>
    </xf>
    <xf numFmtId="0" fontId="15" fillId="2" borderId="7" xfId="8" applyFont="1" applyFill="1" applyBorder="1" applyAlignment="1">
      <alignment wrapText="1"/>
    </xf>
    <xf numFmtId="0" fontId="15" fillId="0" borderId="9" xfId="8" applyFont="1" applyFill="1" applyBorder="1"/>
    <xf numFmtId="0" fontId="15" fillId="0" borderId="7" xfId="8" applyFont="1" applyFill="1" applyBorder="1"/>
    <xf numFmtId="0" fontId="15" fillId="2" borderId="7" xfId="8" applyFont="1" applyFill="1" applyBorder="1"/>
    <xf numFmtId="189" fontId="5" fillId="0" borderId="7" xfId="8" applyNumberFormat="1" applyFont="1" applyFill="1" applyBorder="1"/>
    <xf numFmtId="0" fontId="15" fillId="2" borderId="7" xfId="8" applyFont="1" applyFill="1" applyBorder="1" applyAlignment="1"/>
    <xf numFmtId="3" fontId="5" fillId="4" borderId="7" xfId="8" applyNumberFormat="1" applyFont="1" applyFill="1" applyBorder="1" applyAlignment="1">
      <alignment horizontal="right"/>
    </xf>
    <xf numFmtId="194" fontId="15" fillId="0" borderId="0" xfId="8" applyNumberFormat="1" applyFont="1" applyFill="1" applyBorder="1" applyAlignment="1">
      <alignment wrapText="1"/>
    </xf>
    <xf numFmtId="0" fontId="68" fillId="4" borderId="7" xfId="8" applyFont="1" applyFill="1" applyBorder="1" applyAlignment="1">
      <alignment wrapText="1"/>
    </xf>
    <xf numFmtId="0" fontId="68" fillId="3" borderId="7" xfId="8" applyFont="1" applyFill="1" applyBorder="1" applyAlignment="1">
      <alignment wrapText="1"/>
    </xf>
    <xf numFmtId="0" fontId="68" fillId="2" borderId="7" xfId="8" applyFont="1" applyFill="1" applyBorder="1" applyAlignment="1">
      <alignment wrapText="1"/>
    </xf>
    <xf numFmtId="193" fontId="5" fillId="4" borderId="7" xfId="8" applyNumberFormat="1" applyFont="1" applyFill="1" applyBorder="1" applyAlignment="1">
      <alignment wrapText="1"/>
    </xf>
    <xf numFmtId="187" fontId="5" fillId="4" borderId="7" xfId="8" applyNumberFormat="1" applyFont="1" applyFill="1" applyBorder="1" applyAlignment="1">
      <alignment wrapText="1"/>
    </xf>
    <xf numFmtId="193" fontId="5" fillId="0" borderId="0" xfId="8" applyNumberFormat="1" applyFont="1" applyFill="1" applyBorder="1" applyAlignment="1">
      <alignment wrapText="1"/>
    </xf>
    <xf numFmtId="193" fontId="15" fillId="4" borderId="7" xfId="9" applyNumberFormat="1" applyFont="1" applyFill="1" applyBorder="1" applyAlignment="1">
      <alignment wrapText="1"/>
    </xf>
    <xf numFmtId="0" fontId="15" fillId="4" borderId="7" xfId="8" applyFont="1" applyFill="1" applyBorder="1" applyAlignment="1">
      <alignment horizontal="center" wrapText="1"/>
    </xf>
    <xf numFmtId="0" fontId="15" fillId="4" borderId="7" xfId="8" applyFont="1" applyFill="1" applyBorder="1" applyAlignment="1">
      <alignment wrapText="1"/>
    </xf>
    <xf numFmtId="189" fontId="15" fillId="4" borderId="7" xfId="5" applyNumberFormat="1" applyFont="1" applyFill="1" applyBorder="1" applyAlignment="1">
      <alignment horizontal="right" vertical="top" wrapText="1"/>
    </xf>
    <xf numFmtId="193" fontId="36" fillId="4" borderId="7" xfId="9" applyNumberFormat="1" applyFont="1" applyFill="1" applyBorder="1" applyAlignment="1">
      <alignment horizontal="right" vertical="top" wrapText="1"/>
    </xf>
    <xf numFmtId="193" fontId="15" fillId="4" borderId="7" xfId="9" applyNumberFormat="1" applyFont="1" applyFill="1" applyBorder="1" applyAlignment="1">
      <alignment horizontal="right" vertical="top" wrapText="1"/>
    </xf>
    <xf numFmtId="193" fontId="15" fillId="0" borderId="0" xfId="8" applyNumberFormat="1" applyFont="1" applyFill="1" applyBorder="1" applyAlignment="1">
      <alignment wrapText="1"/>
    </xf>
    <xf numFmtId="192" fontId="15" fillId="4" borderId="7" xfId="9" applyNumberFormat="1" applyFont="1" applyFill="1" applyBorder="1" applyAlignment="1">
      <alignment horizontal="right" vertical="top" wrapText="1"/>
    </xf>
    <xf numFmtId="189" fontId="67" fillId="4" borderId="7" xfId="5" applyNumberFormat="1" applyFont="1" applyFill="1" applyBorder="1" applyAlignment="1">
      <alignment horizontal="right" vertical="top" wrapText="1"/>
    </xf>
    <xf numFmtId="195" fontId="15" fillId="4" borderId="7" xfId="9" applyNumberFormat="1" applyFont="1" applyFill="1" applyBorder="1" applyAlignment="1">
      <alignment horizontal="right" vertical="top" wrapText="1"/>
    </xf>
    <xf numFmtId="189" fontId="15" fillId="4" borderId="7" xfId="5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wrapText="1"/>
    </xf>
    <xf numFmtId="193" fontId="15" fillId="0" borderId="7" xfId="9" applyNumberFormat="1" applyFont="1" applyFill="1" applyBorder="1" applyAlignment="1">
      <alignment wrapText="1"/>
    </xf>
    <xf numFmtId="192" fontId="15" fillId="4" borderId="7" xfId="9" applyNumberFormat="1" applyFont="1" applyFill="1" applyBorder="1" applyAlignment="1">
      <alignment horizontal="right"/>
    </xf>
    <xf numFmtId="193" fontId="15" fillId="4" borderId="7" xfId="9" applyNumberFormat="1" applyFont="1" applyFill="1" applyBorder="1" applyAlignment="1">
      <alignment horizontal="right"/>
    </xf>
    <xf numFmtId="192" fontId="15" fillId="4" borderId="7" xfId="9" applyNumberFormat="1" applyFont="1" applyFill="1" applyBorder="1" applyAlignment="1">
      <alignment vertical="center"/>
    </xf>
    <xf numFmtId="189" fontId="67" fillId="4" borderId="7" xfId="5" applyNumberFormat="1" applyFont="1" applyFill="1" applyBorder="1" applyAlignment="1">
      <alignment horizontal="right" vertical="top"/>
    </xf>
    <xf numFmtId="194" fontId="5" fillId="4" borderId="7" xfId="9" applyNumberFormat="1" applyFont="1" applyFill="1" applyBorder="1" applyAlignment="1">
      <alignment horizontal="right" vertical="top"/>
    </xf>
    <xf numFmtId="189" fontId="15" fillId="4" borderId="7" xfId="5" applyNumberFormat="1" applyFont="1" applyFill="1" applyBorder="1" applyAlignment="1"/>
    <xf numFmtId="189" fontId="15" fillId="4" borderId="7" xfId="5" applyNumberFormat="1" applyFont="1" applyFill="1" applyBorder="1" applyAlignment="1">
      <alignment vertical="center"/>
    </xf>
    <xf numFmtId="192" fontId="5" fillId="4" borderId="7" xfId="9" applyNumberFormat="1" applyFont="1" applyFill="1" applyBorder="1" applyAlignment="1">
      <alignment horizontal="right" vertical="top" wrapText="1"/>
    </xf>
    <xf numFmtId="189" fontId="5" fillId="4" borderId="7" xfId="5" applyNumberFormat="1" applyFont="1" applyFill="1" applyBorder="1" applyAlignment="1">
      <alignment horizontal="right" vertical="top" wrapText="1"/>
    </xf>
    <xf numFmtId="193" fontId="15" fillId="4" borderId="7" xfId="9" applyNumberFormat="1" applyFont="1" applyFill="1" applyBorder="1" applyAlignment="1">
      <alignment vertical="center"/>
    </xf>
    <xf numFmtId="194" fontId="5" fillId="4" borderId="7" xfId="9" applyNumberFormat="1" applyFont="1" applyFill="1" applyBorder="1" applyAlignment="1">
      <alignment horizontal="right" vertical="top" wrapText="1"/>
    </xf>
    <xf numFmtId="194" fontId="15" fillId="4" borderId="7" xfId="9" applyNumberFormat="1" applyFont="1" applyFill="1" applyBorder="1" applyAlignment="1">
      <alignment horizontal="right" vertical="top" wrapText="1"/>
    </xf>
    <xf numFmtId="193" fontId="5" fillId="4" borderId="7" xfId="9" applyNumberFormat="1" applyFont="1" applyFill="1" applyBorder="1" applyAlignment="1">
      <alignment horizontal="right" vertical="top" wrapText="1"/>
    </xf>
    <xf numFmtId="196" fontId="15" fillId="4" borderId="7" xfId="9" applyNumberFormat="1" applyFont="1" applyFill="1" applyBorder="1" applyAlignment="1">
      <alignment horizontal="right" vertical="top" wrapText="1"/>
    </xf>
    <xf numFmtId="194" fontId="5" fillId="4" borderId="7" xfId="9" applyNumberFormat="1" applyFont="1" applyFill="1" applyBorder="1" applyAlignment="1">
      <alignment horizontal="right"/>
    </xf>
    <xf numFmtId="194" fontId="15" fillId="4" borderId="7" xfId="9" applyNumberFormat="1" applyFont="1" applyFill="1" applyBorder="1" applyAlignment="1">
      <alignment vertical="center"/>
    </xf>
    <xf numFmtId="194" fontId="5" fillId="4" borderId="7" xfId="9" applyNumberFormat="1" applyFont="1" applyFill="1" applyBorder="1" applyAlignment="1">
      <alignment wrapText="1"/>
    </xf>
    <xf numFmtId="187" fontId="15" fillId="4" borderId="7" xfId="9" applyNumberFormat="1" applyFont="1" applyFill="1" applyBorder="1" applyAlignment="1">
      <alignment horizontal="right" vertical="top" wrapText="1"/>
    </xf>
    <xf numFmtId="0" fontId="5" fillId="0" borderId="7" xfId="7" applyFont="1" applyFill="1" applyBorder="1" applyAlignment="1">
      <alignment horizontal="left" vertical="top" wrapText="1"/>
    </xf>
    <xf numFmtId="0" fontId="13" fillId="0" borderId="0" xfId="0" applyFont="1" applyFill="1" applyBorder="1" applyAlignment="1"/>
    <xf numFmtId="0" fontId="5" fillId="0" borderId="7" xfId="8" applyFont="1" applyFill="1" applyBorder="1" applyAlignment="1"/>
    <xf numFmtId="0" fontId="15" fillId="0" borderId="7" xfId="8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6" fillId="0" borderId="6" xfId="8" applyFont="1" applyFill="1" applyBorder="1" applyAlignment="1">
      <alignment vertical="top"/>
    </xf>
    <xf numFmtId="0" fontId="5" fillId="0" borderId="22" xfId="0" applyFont="1" applyFill="1" applyBorder="1"/>
    <xf numFmtId="0" fontId="13" fillId="0" borderId="7" xfId="8" applyFont="1" applyFill="1" applyBorder="1" applyAlignment="1">
      <alignment wrapText="1"/>
    </xf>
    <xf numFmtId="0" fontId="58" fillId="4" borderId="7" xfId="8" applyFont="1" applyFill="1" applyBorder="1" applyAlignment="1">
      <alignment horizontal="center" wrapText="1"/>
    </xf>
    <xf numFmtId="0" fontId="58" fillId="4" borderId="7" xfId="8" applyFont="1" applyFill="1" applyBorder="1" applyAlignment="1">
      <alignment wrapText="1"/>
    </xf>
    <xf numFmtId="193" fontId="58" fillId="4" borderId="7" xfId="9" applyNumberFormat="1" applyFont="1" applyFill="1" applyBorder="1" applyAlignment="1">
      <alignment wrapText="1"/>
    </xf>
    <xf numFmtId="0" fontId="46" fillId="0" borderId="9" xfId="8" applyFont="1" applyFill="1" applyBorder="1"/>
    <xf numFmtId="0" fontId="46" fillId="0" borderId="0" xfId="8" applyFont="1" applyFill="1" applyBorder="1"/>
    <xf numFmtId="0" fontId="45" fillId="0" borderId="7" xfId="8" applyFont="1" applyFill="1" applyBorder="1" applyAlignment="1">
      <alignment horizontal="left"/>
    </xf>
    <xf numFmtId="0" fontId="46" fillId="0" borderId="7" xfId="8" applyFont="1" applyFill="1" applyBorder="1" applyAlignment="1">
      <alignment horizontal="left"/>
    </xf>
    <xf numFmtId="0" fontId="46" fillId="0" borderId="7" xfId="8" applyFont="1" applyFill="1" applyBorder="1"/>
    <xf numFmtId="0" fontId="46" fillId="2" borderId="7" xfId="8" applyFont="1" applyFill="1" applyBorder="1" applyAlignment="1">
      <alignment horizontal="right"/>
    </xf>
    <xf numFmtId="0" fontId="46" fillId="2" borderId="7" xfId="8" applyFont="1" applyFill="1" applyBorder="1" applyAlignment="1">
      <alignment horizontal="center"/>
    </xf>
    <xf numFmtId="0" fontId="46" fillId="2" borderId="7" xfId="8" applyFont="1" applyFill="1" applyBorder="1"/>
    <xf numFmtId="189" fontId="45" fillId="0" borderId="7" xfId="8" applyNumberFormat="1" applyFont="1" applyFill="1" applyBorder="1"/>
    <xf numFmtId="0" fontId="45" fillId="0" borderId="7" xfId="8" applyFont="1" applyFill="1" applyBorder="1" applyAlignment="1">
      <alignment horizontal="left" indent="2"/>
    </xf>
    <xf numFmtId="189" fontId="46" fillId="2" borderId="7" xfId="5" applyNumberFormat="1" applyFont="1" applyFill="1" applyBorder="1"/>
    <xf numFmtId="192" fontId="46" fillId="0" borderId="7" xfId="8" applyNumberFormat="1" applyFont="1" applyFill="1" applyBorder="1"/>
    <xf numFmtId="0" fontId="47" fillId="0" borderId="7" xfId="8" applyFont="1" applyFill="1" applyBorder="1"/>
    <xf numFmtId="3" fontId="46" fillId="0" borderId="0" xfId="8" applyNumberFormat="1" applyFont="1" applyFill="1" applyBorder="1"/>
    <xf numFmtId="0" fontId="46" fillId="0" borderId="7" xfId="8" applyFont="1" applyFill="1" applyBorder="1" applyAlignment="1"/>
    <xf numFmtId="0" fontId="46" fillId="4" borderId="7" xfId="7" applyFont="1" applyFill="1" applyBorder="1" applyAlignment="1">
      <alignment horizontal="center"/>
    </xf>
    <xf numFmtId="0" fontId="48" fillId="4" borderId="7" xfId="7" applyFont="1" applyFill="1" applyBorder="1" applyAlignment="1">
      <alignment horizontal="center"/>
    </xf>
    <xf numFmtId="0" fontId="46" fillId="0" borderId="7" xfId="8" applyFont="1" applyFill="1" applyBorder="1" applyAlignment="1">
      <alignment horizontal="right" wrapText="1"/>
    </xf>
    <xf numFmtId="0" fontId="46" fillId="0" borderId="7" xfId="8" applyFont="1" applyFill="1" applyBorder="1" applyAlignment="1">
      <alignment horizontal="center" wrapText="1"/>
    </xf>
    <xf numFmtId="0" fontId="46" fillId="0" borderId="7" xfId="8" applyFont="1" applyFill="1" applyBorder="1" applyAlignment="1">
      <alignment wrapText="1"/>
    </xf>
    <xf numFmtId="193" fontId="46" fillId="0" borderId="7" xfId="9" applyNumberFormat="1" applyFont="1" applyFill="1" applyBorder="1" applyAlignment="1">
      <alignment wrapText="1"/>
    </xf>
    <xf numFmtId="189" fontId="46" fillId="0" borderId="7" xfId="5" applyNumberFormat="1" applyFont="1" applyFill="1" applyBorder="1" applyAlignment="1">
      <alignment wrapText="1"/>
    </xf>
    <xf numFmtId="192" fontId="46" fillId="0" borderId="7" xfId="9" applyNumberFormat="1" applyFont="1" applyFill="1" applyBorder="1" applyAlignment="1">
      <alignment wrapText="1"/>
    </xf>
    <xf numFmtId="0" fontId="46" fillId="4" borderId="7" xfId="8" applyFont="1" applyFill="1" applyBorder="1" applyAlignment="1">
      <alignment horizontal="center" wrapText="1"/>
    </xf>
    <xf numFmtId="0" fontId="46" fillId="2" borderId="7" xfId="8" applyFont="1" applyFill="1" applyBorder="1" applyAlignment="1">
      <alignment wrapText="1"/>
    </xf>
    <xf numFmtId="0" fontId="46" fillId="0" borderId="9" xfId="8" applyFont="1" applyFill="1" applyBorder="1" applyAlignment="1">
      <alignment wrapText="1"/>
    </xf>
    <xf numFmtId="0" fontId="46" fillId="0" borderId="0" xfId="8" applyFont="1" applyFill="1" applyBorder="1" applyAlignment="1">
      <alignment wrapText="1"/>
    </xf>
    <xf numFmtId="0" fontId="46" fillId="3" borderId="7" xfId="8" applyFont="1" applyFill="1" applyBorder="1"/>
    <xf numFmtId="193" fontId="46" fillId="2" borderId="7" xfId="9" applyNumberFormat="1" applyFont="1" applyFill="1" applyBorder="1" applyAlignment="1">
      <alignment horizontal="center"/>
    </xf>
    <xf numFmtId="189" fontId="45" fillId="4" borderId="7" xfId="5" applyNumberFormat="1" applyFont="1" applyFill="1" applyBorder="1" applyAlignment="1">
      <alignment wrapText="1"/>
    </xf>
    <xf numFmtId="192" fontId="45" fillId="0" borderId="7" xfId="9" applyNumberFormat="1" applyFont="1" applyFill="1" applyBorder="1" applyAlignment="1">
      <alignment wrapText="1"/>
    </xf>
    <xf numFmtId="0" fontId="46" fillId="0" borderId="7" xfId="8" applyFont="1" applyFill="1" applyBorder="1" applyAlignment="1">
      <alignment horizontal="center"/>
    </xf>
    <xf numFmtId="189" fontId="46" fillId="4" borderId="7" xfId="5" applyNumberFormat="1" applyFont="1" applyFill="1" applyBorder="1" applyAlignment="1">
      <alignment wrapText="1"/>
    </xf>
    <xf numFmtId="0" fontId="46" fillId="2" borderId="7" xfId="8" applyFont="1" applyFill="1" applyBorder="1" applyAlignment="1"/>
    <xf numFmtId="189" fontId="45" fillId="4" borderId="7" xfId="5" applyNumberFormat="1" applyFont="1" applyFill="1" applyBorder="1" applyAlignment="1">
      <alignment horizontal="right"/>
    </xf>
    <xf numFmtId="3" fontId="45" fillId="4" borderId="7" xfId="8" applyNumberFormat="1" applyFont="1" applyFill="1" applyBorder="1" applyAlignment="1">
      <alignment horizontal="right"/>
    </xf>
    <xf numFmtId="194" fontId="46" fillId="0" borderId="0" xfId="8" applyNumberFormat="1" applyFont="1" applyFill="1" applyBorder="1" applyAlignment="1">
      <alignment wrapText="1"/>
    </xf>
    <xf numFmtId="0" fontId="45" fillId="4" borderId="7" xfId="7" applyFont="1" applyFill="1" applyBorder="1" applyAlignment="1">
      <alignment vertical="top"/>
    </xf>
    <xf numFmtId="0" fontId="70" fillId="4" borderId="7" xfId="8" applyFont="1" applyFill="1" applyBorder="1" applyAlignment="1">
      <alignment wrapText="1"/>
    </xf>
    <xf numFmtId="0" fontId="70" fillId="0" borderId="7" xfId="8" applyFont="1" applyFill="1" applyBorder="1" applyAlignment="1">
      <alignment wrapText="1"/>
    </xf>
    <xf numFmtId="0" fontId="70" fillId="3" borderId="7" xfId="8" applyFont="1" applyFill="1" applyBorder="1" applyAlignment="1">
      <alignment wrapText="1"/>
    </xf>
    <xf numFmtId="0" fontId="70" fillId="2" borderId="7" xfId="8" applyFont="1" applyFill="1" applyBorder="1" applyAlignment="1">
      <alignment horizontal="right" wrapText="1"/>
    </xf>
    <xf numFmtId="0" fontId="70" fillId="2" borderId="7" xfId="8" applyFont="1" applyFill="1" applyBorder="1" applyAlignment="1">
      <alignment horizontal="center" wrapText="1"/>
    </xf>
    <xf numFmtId="0" fontId="70" fillId="2" borderId="7" xfId="8" applyFont="1" applyFill="1" applyBorder="1" applyAlignment="1">
      <alignment wrapText="1"/>
    </xf>
    <xf numFmtId="189" fontId="45" fillId="4" borderId="7" xfId="5" applyNumberFormat="1" applyFont="1" applyFill="1" applyBorder="1" applyAlignment="1">
      <alignment horizontal="right" wrapText="1"/>
    </xf>
    <xf numFmtId="193" fontId="45" fillId="4" borderId="7" xfId="8" applyNumberFormat="1" applyFont="1" applyFill="1" applyBorder="1" applyAlignment="1">
      <alignment wrapText="1"/>
    </xf>
    <xf numFmtId="187" fontId="45" fillId="4" borderId="7" xfId="8" applyNumberFormat="1" applyFont="1" applyFill="1" applyBorder="1" applyAlignment="1">
      <alignment wrapText="1"/>
    </xf>
    <xf numFmtId="193" fontId="45" fillId="0" borderId="0" xfId="8" applyNumberFormat="1" applyFont="1" applyFill="1" applyBorder="1" applyAlignment="1">
      <alignment wrapText="1"/>
    </xf>
    <xf numFmtId="0" fontId="49" fillId="4" borderId="7" xfId="8" applyFont="1" applyFill="1" applyBorder="1" applyAlignment="1">
      <alignment vertical="center"/>
    </xf>
    <xf numFmtId="0" fontId="70" fillId="3" borderId="7" xfId="8" applyFont="1" applyFill="1" applyBorder="1" applyAlignment="1">
      <alignment vertical="top" wrapText="1"/>
    </xf>
    <xf numFmtId="193" fontId="46" fillId="4" borderId="7" xfId="9" applyNumberFormat="1" applyFont="1" applyFill="1" applyBorder="1" applyAlignment="1">
      <alignment horizontal="right" wrapText="1"/>
    </xf>
    <xf numFmtId="0" fontId="46" fillId="4" borderId="7" xfId="8" applyFont="1" applyFill="1" applyBorder="1" applyAlignment="1">
      <alignment wrapText="1"/>
    </xf>
    <xf numFmtId="193" fontId="46" fillId="4" borderId="7" xfId="9" applyNumberFormat="1" applyFont="1" applyFill="1" applyBorder="1" applyAlignment="1">
      <alignment wrapText="1"/>
    </xf>
    <xf numFmtId="189" fontId="46" fillId="4" borderId="7" xfId="5" applyNumberFormat="1" applyFont="1" applyFill="1" applyBorder="1" applyAlignment="1">
      <alignment horizontal="right" vertical="top" wrapText="1"/>
    </xf>
    <xf numFmtId="193" fontId="46" fillId="4" borderId="7" xfId="9" applyNumberFormat="1" applyFont="1" applyFill="1" applyBorder="1" applyAlignment="1">
      <alignment horizontal="right" vertical="top" wrapText="1"/>
    </xf>
    <xf numFmtId="193" fontId="46" fillId="0" borderId="0" xfId="8" applyNumberFormat="1" applyFont="1" applyFill="1" applyBorder="1" applyAlignment="1">
      <alignment wrapText="1"/>
    </xf>
    <xf numFmtId="192" fontId="46" fillId="4" borderId="7" xfId="9" applyNumberFormat="1" applyFont="1" applyFill="1" applyBorder="1" applyAlignment="1">
      <alignment horizontal="right" vertical="top" wrapText="1"/>
    </xf>
    <xf numFmtId="0" fontId="46" fillId="0" borderId="7" xfId="7" applyFont="1" applyFill="1" applyBorder="1" applyAlignment="1">
      <alignment horizontal="left" vertical="top"/>
    </xf>
    <xf numFmtId="0" fontId="70" fillId="4" borderId="7" xfId="8" applyFont="1" applyFill="1" applyBorder="1" applyAlignment="1">
      <alignment horizontal="right" wrapText="1"/>
    </xf>
    <xf numFmtId="0" fontId="70" fillId="4" borderId="7" xfId="8" applyFont="1" applyFill="1" applyBorder="1" applyAlignment="1">
      <alignment horizontal="center" wrapText="1"/>
    </xf>
    <xf numFmtId="189" fontId="45" fillId="4" borderId="7" xfId="5" applyNumberFormat="1" applyFont="1" applyFill="1" applyBorder="1" applyAlignment="1">
      <alignment horizontal="right" vertical="top"/>
    </xf>
    <xf numFmtId="194" fontId="45" fillId="4" borderId="7" xfId="9" applyNumberFormat="1" applyFont="1" applyFill="1" applyBorder="1" applyAlignment="1">
      <alignment horizontal="right" vertical="top"/>
    </xf>
    <xf numFmtId="0" fontId="45" fillId="4" borderId="7" xfId="8" applyFont="1" applyFill="1" applyBorder="1" applyAlignment="1">
      <alignment horizontal="left" vertical="top"/>
    </xf>
    <xf numFmtId="0" fontId="46" fillId="3" borderId="7" xfId="8" applyFont="1" applyFill="1" applyBorder="1" applyAlignment="1">
      <alignment wrapText="1"/>
    </xf>
    <xf numFmtId="0" fontId="46" fillId="3" borderId="7" xfId="8" applyFont="1" applyFill="1" applyBorder="1" applyAlignment="1">
      <alignment horizontal="right" wrapText="1"/>
    </xf>
    <xf numFmtId="0" fontId="46" fillId="3" borderId="7" xfId="8" applyFont="1" applyFill="1" applyBorder="1" applyAlignment="1">
      <alignment horizontal="center" wrapText="1"/>
    </xf>
    <xf numFmtId="192" fontId="45" fillId="4" borderId="7" xfId="9" applyNumberFormat="1" applyFont="1" applyFill="1" applyBorder="1" applyAlignment="1">
      <alignment wrapText="1"/>
    </xf>
    <xf numFmtId="0" fontId="46" fillId="4" borderId="7" xfId="8" applyFont="1" applyFill="1" applyBorder="1" applyAlignment="1">
      <alignment horizontal="right" wrapText="1"/>
    </xf>
    <xf numFmtId="189" fontId="46" fillId="4" borderId="7" xfId="5" applyNumberFormat="1" applyFont="1" applyFill="1" applyBorder="1" applyAlignment="1">
      <alignment vertical="center"/>
    </xf>
    <xf numFmtId="0" fontId="46" fillId="0" borderId="7" xfId="8" applyFont="1" applyFill="1" applyBorder="1" applyAlignment="1">
      <alignment vertical="center"/>
    </xf>
    <xf numFmtId="192" fontId="46" fillId="4" borderId="7" xfId="9" applyNumberFormat="1" applyFont="1" applyFill="1" applyBorder="1" applyAlignment="1">
      <alignment vertical="center"/>
    </xf>
    <xf numFmtId="0" fontId="46" fillId="4" borderId="7" xfId="8" applyFont="1" applyFill="1" applyBorder="1" applyAlignment="1">
      <alignment vertical="center"/>
    </xf>
    <xf numFmtId="0" fontId="45" fillId="4" borderId="7" xfId="8" applyFont="1" applyFill="1" applyBorder="1" applyAlignment="1">
      <alignment vertical="center"/>
    </xf>
    <xf numFmtId="0" fontId="70" fillId="3" borderId="7" xfId="8" applyFont="1" applyFill="1" applyBorder="1" applyAlignment="1">
      <alignment horizontal="center" wrapText="1"/>
    </xf>
    <xf numFmtId="0" fontId="45" fillId="0" borderId="7" xfId="8" applyFont="1" applyFill="1" applyBorder="1" applyAlignment="1">
      <alignment vertical="center"/>
    </xf>
    <xf numFmtId="0" fontId="70" fillId="0" borderId="7" xfId="8" applyFont="1" applyFill="1" applyBorder="1" applyAlignment="1">
      <alignment vertical="top" wrapText="1"/>
    </xf>
    <xf numFmtId="189" fontId="45" fillId="4" borderId="7" xfId="5" applyNumberFormat="1" applyFont="1" applyFill="1" applyBorder="1" applyAlignment="1">
      <alignment horizontal="right" vertical="top" wrapText="1"/>
    </xf>
    <xf numFmtId="192" fontId="45" fillId="4" borderId="7" xfId="9" applyNumberFormat="1" applyFont="1" applyFill="1" applyBorder="1" applyAlignment="1">
      <alignment horizontal="right" vertical="top" wrapText="1"/>
    </xf>
    <xf numFmtId="0" fontId="70" fillId="0" borderId="7" xfId="8" applyFont="1" applyFill="1" applyBorder="1" applyAlignment="1">
      <alignment horizontal="center" wrapText="1"/>
    </xf>
    <xf numFmtId="0" fontId="70" fillId="4" borderId="7" xfId="8" applyFont="1" applyFill="1" applyBorder="1" applyAlignment="1">
      <alignment vertical="top" wrapText="1"/>
    </xf>
    <xf numFmtId="189" fontId="46" fillId="4" borderId="7" xfId="5" applyNumberFormat="1" applyFont="1" applyFill="1" applyBorder="1" applyAlignment="1">
      <alignment horizontal="right" wrapText="1"/>
    </xf>
    <xf numFmtId="194" fontId="45" fillId="4" borderId="7" xfId="9" applyNumberFormat="1" applyFont="1" applyFill="1" applyBorder="1" applyAlignment="1">
      <alignment horizontal="right" vertical="top" wrapText="1"/>
    </xf>
    <xf numFmtId="0" fontId="46" fillId="0" borderId="7" xfId="7" applyFont="1" applyFill="1" applyBorder="1" applyAlignment="1">
      <alignment vertical="top"/>
    </xf>
    <xf numFmtId="0" fontId="70" fillId="3" borderId="7" xfId="8" applyFont="1" applyFill="1" applyBorder="1" applyAlignment="1"/>
    <xf numFmtId="194" fontId="46" fillId="4" borderId="7" xfId="9" applyNumberFormat="1" applyFont="1" applyFill="1" applyBorder="1" applyAlignment="1">
      <alignment horizontal="right" vertical="top" wrapText="1"/>
    </xf>
    <xf numFmtId="193" fontId="45" fillId="4" borderId="7" xfId="9" applyNumberFormat="1" applyFont="1" applyFill="1" applyBorder="1" applyAlignment="1">
      <alignment horizontal="right" vertical="top" wrapText="1"/>
    </xf>
    <xf numFmtId="0" fontId="46" fillId="4" borderId="7" xfId="7" applyFont="1" applyFill="1" applyBorder="1" applyAlignment="1">
      <alignment vertical="top"/>
    </xf>
    <xf numFmtId="194" fontId="45" fillId="4" borderId="7" xfId="9" applyNumberFormat="1" applyFont="1" applyFill="1" applyBorder="1" applyAlignment="1">
      <alignment horizontal="right"/>
    </xf>
    <xf numFmtId="189" fontId="46" fillId="4" borderId="7" xfId="5" applyNumberFormat="1" applyFont="1" applyFill="1" applyBorder="1" applyAlignment="1">
      <alignment horizontal="right"/>
    </xf>
    <xf numFmtId="194" fontId="46" fillId="4" borderId="7" xfId="9" applyNumberFormat="1" applyFont="1" applyFill="1" applyBorder="1" applyAlignment="1">
      <alignment vertical="center"/>
    </xf>
    <xf numFmtId="0" fontId="45" fillId="0" borderId="7" xfId="7" applyFont="1" applyFill="1" applyBorder="1" applyAlignment="1">
      <alignment vertical="top"/>
    </xf>
    <xf numFmtId="0" fontId="70" fillId="0" borderId="7" xfId="8" applyFont="1" applyFill="1" applyBorder="1" applyAlignment="1">
      <alignment horizontal="right" wrapText="1"/>
    </xf>
    <xf numFmtId="187" fontId="46" fillId="4" borderId="7" xfId="9" applyNumberFormat="1" applyFont="1" applyFill="1" applyBorder="1" applyAlignment="1">
      <alignment horizontal="right" vertical="top" wrapText="1"/>
    </xf>
    <xf numFmtId="0" fontId="46" fillId="0" borderId="0" xfId="0" applyFont="1" applyFill="1" applyBorder="1" applyAlignment="1"/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/>
    <xf numFmtId="0" fontId="46" fillId="0" borderId="0" xfId="8" applyFont="1" applyFill="1" applyBorder="1" applyAlignment="1">
      <alignment horizontal="right"/>
    </xf>
    <xf numFmtId="0" fontId="46" fillId="0" borderId="0" xfId="8" applyFont="1" applyFill="1" applyBorder="1" applyAlignment="1">
      <alignment horizontal="center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193" fontId="71" fillId="0" borderId="0" xfId="5" applyNumberFormat="1" applyFont="1" applyFill="1" applyBorder="1" applyAlignment="1">
      <alignment horizontal="center" vertical="top"/>
    </xf>
    <xf numFmtId="189" fontId="63" fillId="10" borderId="7" xfId="8" applyNumberFormat="1" applyFont="1" applyFill="1" applyBorder="1" applyAlignment="1">
      <alignment wrapText="1"/>
    </xf>
    <xf numFmtId="189" fontId="49" fillId="0" borderId="7" xfId="8" applyNumberFormat="1" applyFont="1" applyFill="1" applyBorder="1" applyAlignment="1">
      <alignment wrapText="1"/>
    </xf>
    <xf numFmtId="0" fontId="73" fillId="0" borderId="0" xfId="8" applyFont="1" applyFill="1" applyBorder="1" applyAlignment="1">
      <alignment wrapText="1"/>
    </xf>
    <xf numFmtId="193" fontId="46" fillId="0" borderId="7" xfId="5" applyNumberFormat="1" applyFont="1" applyFill="1" applyBorder="1" applyAlignment="1">
      <alignment horizontal="right" vertical="top"/>
    </xf>
    <xf numFmtId="193" fontId="46" fillId="0" borderId="7" xfId="5" applyNumberFormat="1" applyFont="1" applyFill="1" applyBorder="1" applyAlignment="1">
      <alignment horizontal="center" vertical="top"/>
    </xf>
    <xf numFmtId="0" fontId="46" fillId="0" borderId="7" xfId="8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wrapText="1"/>
    </xf>
    <xf numFmtId="0" fontId="4" fillId="0" borderId="7" xfId="11" applyFont="1" applyFill="1" applyBorder="1"/>
    <xf numFmtId="3" fontId="4" fillId="0" borderId="7" xfId="0" applyNumberFormat="1" applyFont="1" applyFill="1" applyBorder="1"/>
    <xf numFmtId="0" fontId="4" fillId="0" borderId="7" xfId="0" applyFont="1" applyFill="1" applyBorder="1" applyAlignment="1">
      <alignment horizontal="left" indent="2"/>
    </xf>
    <xf numFmtId="0" fontId="4" fillId="0" borderId="0" xfId="0" applyFont="1" applyFill="1" applyBorder="1" applyAlignment="1">
      <alignment wrapText="1"/>
    </xf>
    <xf numFmtId="3" fontId="4" fillId="4" borderId="7" xfId="0" applyNumberFormat="1" applyFont="1" applyFill="1" applyBorder="1" applyAlignment="1">
      <alignment horizontal="right" vertical="center"/>
    </xf>
    <xf numFmtId="0" fontId="29" fillId="0" borderId="7" xfId="0" applyFont="1" applyFill="1" applyBorder="1"/>
    <xf numFmtId="0" fontId="50" fillId="0" borderId="7" xfId="0" applyFont="1" applyFill="1" applyBorder="1" applyAlignment="1">
      <alignment vertical="top"/>
    </xf>
    <xf numFmtId="0" fontId="74" fillId="0" borderId="9" xfId="0" applyFont="1" applyFill="1" applyBorder="1"/>
    <xf numFmtId="0" fontId="74" fillId="0" borderId="9" xfId="0" applyFont="1" applyFill="1" applyBorder="1" applyAlignment="1">
      <alignment horizontal="center"/>
    </xf>
    <xf numFmtId="190" fontId="74" fillId="0" borderId="9" xfId="5" applyNumberFormat="1" applyFont="1" applyFill="1" applyBorder="1"/>
    <xf numFmtId="0" fontId="74" fillId="0" borderId="0" xfId="0" applyFont="1" applyFill="1" applyBorder="1"/>
    <xf numFmtId="0" fontId="76" fillId="0" borderId="0" xfId="0" applyFont="1" applyFill="1" applyBorder="1"/>
    <xf numFmtId="0" fontId="77" fillId="0" borderId="9" xfId="0" applyFont="1" applyFill="1" applyBorder="1"/>
    <xf numFmtId="0" fontId="77" fillId="0" borderId="7" xfId="0" applyFont="1" applyFill="1" applyBorder="1"/>
    <xf numFmtId="0" fontId="77" fillId="2" borderId="7" xfId="0" applyFont="1" applyFill="1" applyBorder="1" applyAlignment="1">
      <alignment horizontal="center"/>
    </xf>
    <xf numFmtId="0" fontId="77" fillId="2" borderId="7" xfId="0" applyFont="1" applyFill="1" applyBorder="1"/>
    <xf numFmtId="189" fontId="77" fillId="0" borderId="7" xfId="5" applyNumberFormat="1" applyFont="1" applyFill="1" applyBorder="1"/>
    <xf numFmtId="0" fontId="77" fillId="0" borderId="0" xfId="0" applyFont="1" applyFill="1" applyBorder="1"/>
    <xf numFmtId="0" fontId="78" fillId="0" borderId="0" xfId="0" applyFont="1" applyFill="1" applyBorder="1"/>
    <xf numFmtId="0" fontId="79" fillId="0" borderId="9" xfId="8" applyFont="1" applyFill="1" applyBorder="1" applyAlignment="1">
      <alignment wrapText="1"/>
    </xf>
    <xf numFmtId="0" fontId="79" fillId="0" borderId="0" xfId="8" applyFont="1" applyFill="1" applyBorder="1" applyAlignment="1">
      <alignment wrapText="1"/>
    </xf>
    <xf numFmtId="0" fontId="79" fillId="0" borderId="7" xfId="8" applyFont="1" applyFill="1" applyBorder="1" applyAlignment="1">
      <alignment wrapText="1"/>
    </xf>
    <xf numFmtId="0" fontId="79" fillId="2" borderId="7" xfId="8" applyFont="1" applyFill="1" applyBorder="1" applyAlignment="1">
      <alignment wrapText="1"/>
    </xf>
    <xf numFmtId="0" fontId="78" fillId="0" borderId="0" xfId="8" applyFont="1" applyFill="1" applyBorder="1" applyAlignment="1">
      <alignment wrapText="1"/>
    </xf>
    <xf numFmtId="0" fontId="77" fillId="0" borderId="7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top"/>
    </xf>
    <xf numFmtId="190" fontId="65" fillId="0" borderId="9" xfId="5" applyNumberFormat="1" applyFont="1" applyFill="1" applyBorder="1"/>
    <xf numFmtId="0" fontId="82" fillId="0" borderId="0" xfId="0" applyFont="1" applyFill="1" applyBorder="1"/>
    <xf numFmtId="49" fontId="45" fillId="0" borderId="4" xfId="0" applyNumberFormat="1" applyFont="1" applyFill="1" applyBorder="1" applyAlignment="1"/>
    <xf numFmtId="189" fontId="65" fillId="0" borderId="7" xfId="5" applyNumberFormat="1" applyFont="1" applyFill="1" applyBorder="1"/>
    <xf numFmtId="0" fontId="73" fillId="0" borderId="0" xfId="0" applyFont="1" applyFill="1" applyBorder="1"/>
    <xf numFmtId="49" fontId="50" fillId="0" borderId="7" xfId="0" applyNumberFormat="1" applyFont="1" applyFill="1" applyBorder="1" applyAlignment="1">
      <alignment vertical="top"/>
    </xf>
    <xf numFmtId="189" fontId="65" fillId="10" borderId="7" xfId="5" applyNumberFormat="1" applyFont="1" applyFill="1" applyBorder="1" applyAlignment="1">
      <alignment wrapText="1"/>
    </xf>
    <xf numFmtId="0" fontId="4" fillId="0" borderId="7" xfId="8" applyFont="1" applyFill="1" applyBorder="1" applyAlignment="1">
      <alignment vertical="top" wrapText="1"/>
    </xf>
    <xf numFmtId="0" fontId="4" fillId="4" borderId="7" xfId="8" applyFont="1" applyFill="1" applyBorder="1" applyAlignment="1">
      <alignment horizontal="center"/>
    </xf>
    <xf numFmtId="0" fontId="4" fillId="4" borderId="7" xfId="7" applyFont="1" applyFill="1" applyBorder="1" applyAlignment="1">
      <alignment horizontal="left" vertical="top" wrapText="1"/>
    </xf>
    <xf numFmtId="0" fontId="4" fillId="4" borderId="7" xfId="7" applyFont="1" applyFill="1" applyBorder="1" applyAlignment="1">
      <alignment horizontal="left" vertical="top"/>
    </xf>
    <xf numFmtId="0" fontId="4" fillId="0" borderId="7" xfId="8" applyFont="1" applyFill="1" applyBorder="1" applyAlignment="1">
      <alignment horizontal="left" vertical="top" wrapText="1"/>
    </xf>
    <xf numFmtId="195" fontId="4" fillId="4" borderId="7" xfId="9" applyNumberFormat="1" applyFont="1" applyFill="1" applyBorder="1" applyAlignment="1">
      <alignment horizontal="right" vertical="top" wrapText="1"/>
    </xf>
    <xf numFmtId="193" fontId="4" fillId="3" borderId="7" xfId="9" applyNumberFormat="1" applyFont="1" applyFill="1" applyBorder="1" applyAlignment="1">
      <alignment wrapText="1"/>
    </xf>
    <xf numFmtId="192" fontId="4" fillId="4" borderId="7" xfId="9" applyNumberFormat="1" applyFont="1" applyFill="1" applyBorder="1" applyAlignment="1">
      <alignment horizontal="right"/>
    </xf>
    <xf numFmtId="193" fontId="4" fillId="4" borderId="7" xfId="9" applyNumberFormat="1" applyFont="1" applyFill="1" applyBorder="1" applyAlignment="1">
      <alignment horizontal="right"/>
    </xf>
    <xf numFmtId="199" fontId="4" fillId="4" borderId="7" xfId="8" applyNumberFormat="1" applyFont="1" applyFill="1" applyBorder="1" applyAlignment="1">
      <alignment wrapText="1"/>
    </xf>
    <xf numFmtId="4" fontId="5" fillId="4" borderId="7" xfId="12" applyNumberFormat="1" applyFont="1" applyFill="1" applyBorder="1" applyAlignment="1">
      <alignment horizontal="right"/>
    </xf>
    <xf numFmtId="189" fontId="4" fillId="0" borderId="7" xfId="8" applyNumberFormat="1" applyFont="1" applyFill="1" applyBorder="1" applyAlignment="1">
      <alignment wrapText="1"/>
    </xf>
    <xf numFmtId="193" fontId="4" fillId="4" borderId="7" xfId="9" applyNumberFormat="1" applyFont="1" applyFill="1" applyBorder="1" applyAlignment="1">
      <alignment vertical="center"/>
    </xf>
    <xf numFmtId="196" fontId="4" fillId="4" borderId="7" xfId="9" applyNumberFormat="1" applyFont="1" applyFill="1" applyBorder="1" applyAlignment="1">
      <alignment horizontal="right" vertical="top" wrapText="1"/>
    </xf>
    <xf numFmtId="0" fontId="6" fillId="0" borderId="7" xfId="8" applyFont="1" applyFill="1" applyBorder="1" applyAlignment="1">
      <alignment wrapText="1"/>
    </xf>
    <xf numFmtId="0" fontId="6" fillId="0" borderId="7" xfId="8" applyFont="1" applyFill="1" applyBorder="1" applyAlignment="1">
      <alignment horizontal="left" vertical="top"/>
    </xf>
    <xf numFmtId="194" fontId="6" fillId="4" borderId="7" xfId="9" applyNumberFormat="1" applyFont="1" applyFill="1" applyBorder="1" applyAlignment="1">
      <alignment wrapText="1"/>
    </xf>
    <xf numFmtId="192" fontId="6" fillId="4" borderId="7" xfId="9" applyNumberFormat="1" applyFont="1" applyFill="1" applyBorder="1" applyAlignment="1">
      <alignment horizontal="right"/>
    </xf>
    <xf numFmtId="192" fontId="6" fillId="4" borderId="7" xfId="9" applyNumberFormat="1" applyFont="1" applyFill="1" applyBorder="1" applyAlignment="1">
      <alignment horizontal="right" vertical="top"/>
    </xf>
    <xf numFmtId="0" fontId="83" fillId="3" borderId="7" xfId="8" applyFont="1" applyFill="1" applyBorder="1" applyAlignment="1">
      <alignment vertical="top" wrapText="1"/>
    </xf>
    <xf numFmtId="0" fontId="83" fillId="3" borderId="7" xfId="8" applyFont="1" applyFill="1" applyBorder="1" applyAlignment="1">
      <alignment wrapText="1"/>
    </xf>
    <xf numFmtId="3" fontId="84" fillId="3" borderId="7" xfId="0" applyNumberFormat="1" applyFont="1" applyFill="1" applyBorder="1" applyAlignment="1">
      <alignment horizontal="right" vertical="top" wrapText="1"/>
    </xf>
    <xf numFmtId="0" fontId="6" fillId="0" borderId="7" xfId="7" applyFont="1" applyFill="1" applyBorder="1" applyAlignment="1">
      <alignment horizontal="left" vertical="top"/>
    </xf>
    <xf numFmtId="0" fontId="6" fillId="3" borderId="7" xfId="8" applyFont="1" applyFill="1" applyBorder="1" applyAlignment="1">
      <alignment wrapText="1"/>
    </xf>
    <xf numFmtId="0" fontId="6" fillId="4" borderId="7" xfId="8" applyFont="1" applyFill="1" applyBorder="1" applyAlignment="1">
      <alignment wrapText="1"/>
    </xf>
    <xf numFmtId="0" fontId="6" fillId="0" borderId="7" xfId="8" applyFont="1" applyFill="1" applyBorder="1" applyAlignment="1"/>
    <xf numFmtId="193" fontId="6" fillId="3" borderId="7" xfId="9" applyNumberFormat="1" applyFont="1" applyFill="1" applyBorder="1" applyAlignment="1">
      <alignment wrapText="1"/>
    </xf>
    <xf numFmtId="194" fontId="4" fillId="0" borderId="7" xfId="9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88" fontId="15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89" fontId="6" fillId="11" borderId="11" xfId="5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188" fontId="4" fillId="0" borderId="7" xfId="0" applyNumberFormat="1" applyFont="1" applyFill="1" applyBorder="1"/>
    <xf numFmtId="189" fontId="4" fillId="11" borderId="7" xfId="5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horizontal="right"/>
    </xf>
    <xf numFmtId="189" fontId="85" fillId="11" borderId="7" xfId="5" applyNumberFormat="1" applyFont="1" applyFill="1" applyBorder="1" applyAlignment="1">
      <alignment horizontal="right"/>
    </xf>
    <xf numFmtId="190" fontId="85" fillId="11" borderId="7" xfId="5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189" fontId="4" fillId="4" borderId="7" xfId="5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top"/>
    </xf>
    <xf numFmtId="189" fontId="4" fillId="4" borderId="7" xfId="5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 wrapText="1"/>
    </xf>
    <xf numFmtId="200" fontId="4" fillId="4" borderId="7" xfId="0" applyNumberFormat="1" applyFont="1" applyFill="1" applyBorder="1" applyAlignment="1">
      <alignment horizontal="right" vertical="center"/>
    </xf>
    <xf numFmtId="189" fontId="6" fillId="4" borderId="7" xfId="5" applyNumberFormat="1" applyFont="1" applyFill="1" applyBorder="1" applyAlignment="1">
      <alignment horizontal="right" vertical="center"/>
    </xf>
    <xf numFmtId="189" fontId="85" fillId="0" borderId="7" xfId="5" applyNumberFormat="1" applyFont="1" applyFill="1" applyBorder="1" applyAlignment="1">
      <alignment horizontal="right"/>
    </xf>
    <xf numFmtId="190" fontId="4" fillId="0" borderId="7" xfId="0" applyNumberFormat="1" applyFont="1" applyFill="1" applyBorder="1" applyAlignment="1">
      <alignment horizontal="right"/>
    </xf>
    <xf numFmtId="190" fontId="4" fillId="0" borderId="7" xfId="5" applyNumberFormat="1" applyFont="1" applyFill="1" applyBorder="1" applyAlignment="1">
      <alignment horizontal="right"/>
    </xf>
    <xf numFmtId="43" fontId="85" fillId="0" borderId="7" xfId="5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89" fontId="6" fillId="0" borderId="7" xfId="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6" fillId="11" borderId="7" xfId="0" applyFont="1" applyFill="1" applyBorder="1" applyAlignment="1">
      <alignment horizontal="center"/>
    </xf>
    <xf numFmtId="0" fontId="6" fillId="11" borderId="7" xfId="0" applyFont="1" applyFill="1" applyBorder="1"/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0" fontId="4" fillId="11" borderId="7" xfId="0" applyFont="1" applyFill="1" applyBorder="1"/>
    <xf numFmtId="3" fontId="4" fillId="0" borderId="7" xfId="5" applyNumberFormat="1" applyFont="1" applyFill="1" applyBorder="1" applyAlignment="1">
      <alignment horizontal="center" vertical="center"/>
    </xf>
    <xf numFmtId="189" fontId="4" fillId="0" borderId="7" xfId="5" applyNumberFormat="1" applyFont="1" applyFill="1" applyBorder="1" applyAlignment="1">
      <alignment vertical="center"/>
    </xf>
    <xf numFmtId="3" fontId="4" fillId="0" borderId="7" xfId="5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7" xfId="5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center" vertical="center"/>
    </xf>
    <xf numFmtId="189" fontId="4" fillId="0" borderId="7" xfId="0" applyNumberFormat="1" applyFont="1" applyFill="1" applyBorder="1" applyAlignment="1">
      <alignment horizontal="center" vertical="center"/>
    </xf>
    <xf numFmtId="189" fontId="4" fillId="0" borderId="7" xfId="5" applyNumberFormat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189" fontId="6" fillId="3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4" fillId="0" borderId="7" xfId="5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3" fontId="15" fillId="0" borderId="7" xfId="5" applyNumberFormat="1" applyFont="1" applyFill="1" applyBorder="1" applyAlignment="1">
      <alignment vertical="center" wrapText="1"/>
    </xf>
    <xf numFmtId="190" fontId="15" fillId="0" borderId="7" xfId="0" applyNumberFormat="1" applyFont="1" applyFill="1" applyBorder="1" applyAlignment="1">
      <alignment vertical="center"/>
    </xf>
    <xf numFmtId="0" fontId="40" fillId="0" borderId="7" xfId="0" applyFont="1" applyFill="1" applyBorder="1" applyAlignment="1">
      <alignment vertical="top"/>
    </xf>
    <xf numFmtId="3" fontId="4" fillId="2" borderId="7" xfId="0" applyNumberFormat="1" applyFont="1" applyFill="1" applyBorder="1"/>
    <xf numFmtId="0" fontId="4" fillId="3" borderId="0" xfId="0" applyFont="1" applyFill="1" applyBorder="1" applyAlignment="1">
      <alignment horizontal="center"/>
    </xf>
    <xf numFmtId="188" fontId="4" fillId="3" borderId="7" xfId="0" applyNumberFormat="1" applyFont="1" applyFill="1" applyBorder="1"/>
    <xf numFmtId="3" fontId="49" fillId="0" borderId="7" xfId="8" applyNumberFormat="1" applyFont="1" applyFill="1" applyBorder="1" applyAlignment="1">
      <alignment wrapText="1"/>
    </xf>
    <xf numFmtId="0" fontId="45" fillId="0" borderId="6" xfId="0" applyFont="1" applyFill="1" applyBorder="1"/>
    <xf numFmtId="189" fontId="6" fillId="0" borderId="7" xfId="5" applyNumberFormat="1" applyFont="1" applyFill="1" applyBorder="1" applyAlignment="1">
      <alignment horizontal="right" vertical="center"/>
    </xf>
    <xf numFmtId="0" fontId="4" fillId="8" borderId="6" xfId="0" applyFont="1" applyFill="1" applyBorder="1"/>
    <xf numFmtId="0" fontId="6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/>
    <xf numFmtId="0" fontId="4" fillId="8" borderId="7" xfId="0" applyFont="1" applyFill="1" applyBorder="1" applyAlignment="1">
      <alignment horizontal="center"/>
    </xf>
    <xf numFmtId="3" fontId="4" fillId="8" borderId="7" xfId="0" applyNumberFormat="1" applyFont="1" applyFill="1" applyBorder="1"/>
    <xf numFmtId="189" fontId="4" fillId="8" borderId="7" xfId="5" applyNumberFormat="1" applyFont="1" applyFill="1" applyBorder="1"/>
    <xf numFmtId="0" fontId="4" fillId="12" borderId="7" xfId="0" applyFont="1" applyFill="1" applyBorder="1"/>
    <xf numFmtId="0" fontId="4" fillId="12" borderId="7" xfId="0" applyFont="1" applyFill="1" applyBorder="1" applyAlignment="1">
      <alignment horizontal="center"/>
    </xf>
    <xf numFmtId="3" fontId="4" fillId="12" borderId="7" xfId="0" applyNumberFormat="1" applyFont="1" applyFill="1" applyBorder="1" applyAlignment="1">
      <alignment horizontal="center"/>
    </xf>
    <xf numFmtId="189" fontId="6" fillId="12" borderId="7" xfId="5" applyNumberFormat="1" applyFont="1" applyFill="1" applyBorder="1" applyAlignment="1">
      <alignment vertical="center"/>
    </xf>
    <xf numFmtId="0" fontId="4" fillId="13" borderId="7" xfId="0" applyFont="1" applyFill="1" applyBorder="1"/>
    <xf numFmtId="189" fontId="6" fillId="0" borderId="11" xfId="0" applyNumberFormat="1" applyFont="1" applyFill="1" applyBorder="1"/>
    <xf numFmtId="189" fontId="6" fillId="0" borderId="11" xfId="0" applyNumberFormat="1" applyFont="1" applyFill="1" applyBorder="1" applyAlignment="1">
      <alignment horizontal="left"/>
    </xf>
    <xf numFmtId="189" fontId="6" fillId="0" borderId="7" xfId="0" applyNumberFormat="1" applyFont="1" applyFill="1" applyBorder="1"/>
    <xf numFmtId="0" fontId="4" fillId="2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189" fontId="4" fillId="0" borderId="7" xfId="0" applyNumberFormat="1" applyFont="1" applyFill="1" applyBorder="1" applyAlignment="1">
      <alignment vertical="center"/>
    </xf>
    <xf numFmtId="189" fontId="4" fillId="0" borderId="7" xfId="0" applyNumberFormat="1" applyFont="1" applyFill="1" applyBorder="1"/>
    <xf numFmtId="0" fontId="28" fillId="2" borderId="7" xfId="0" applyFont="1" applyFill="1" applyBorder="1" applyAlignment="1">
      <alignment horizontal="center"/>
    </xf>
    <xf numFmtId="0" fontId="25" fillId="0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86" fillId="3" borderId="7" xfId="0" applyFont="1" applyFill="1" applyBorder="1"/>
    <xf numFmtId="0" fontId="86" fillId="2" borderId="7" xfId="0" applyFont="1" applyFill="1" applyBorder="1"/>
    <xf numFmtId="0" fontId="86" fillId="3" borderId="0" xfId="0" applyFont="1" applyFill="1" applyBorder="1"/>
    <xf numFmtId="0" fontId="4" fillId="0" borderId="6" xfId="8" applyFont="1" applyFill="1" applyBorder="1" applyAlignment="1">
      <alignment wrapText="1"/>
    </xf>
    <xf numFmtId="0" fontId="4" fillId="0" borderId="17" xfId="8" applyFont="1" applyFill="1" applyBorder="1" applyAlignment="1">
      <alignment wrapText="1"/>
    </xf>
    <xf numFmtId="0" fontId="4" fillId="0" borderId="0" xfId="8" applyFont="1" applyFill="1" applyBorder="1" applyAlignment="1"/>
    <xf numFmtId="0" fontId="4" fillId="0" borderId="9" xfId="8" applyFont="1" applyFill="1" applyBorder="1" applyAlignment="1"/>
    <xf numFmtId="0" fontId="5" fillId="0" borderId="7" xfId="8" applyFont="1" applyBorder="1" applyAlignment="1">
      <alignment horizontal="left"/>
    </xf>
    <xf numFmtId="0" fontId="4" fillId="0" borderId="6" xfId="8" applyFont="1" applyFill="1" applyBorder="1" applyAlignment="1"/>
    <xf numFmtId="0" fontId="4" fillId="0" borderId="17" xfId="8" applyFont="1" applyFill="1" applyBorder="1" applyAlignment="1"/>
    <xf numFmtId="0" fontId="4" fillId="0" borderId="7" xfId="8" applyFont="1" applyBorder="1" applyAlignment="1"/>
    <xf numFmtId="0" fontId="4" fillId="14" borderId="7" xfId="8" applyFont="1" applyFill="1" applyBorder="1" applyAlignment="1"/>
    <xf numFmtId="0" fontId="79" fillId="0" borderId="9" xfId="8" applyFont="1" applyFill="1" applyBorder="1" applyAlignment="1"/>
    <xf numFmtId="0" fontId="79" fillId="0" borderId="0" xfId="8" applyFont="1" applyFill="1" applyBorder="1" applyAlignment="1"/>
    <xf numFmtId="0" fontId="74" fillId="0" borderId="15" xfId="0" applyFont="1" applyFill="1" applyBorder="1" applyAlignment="1">
      <alignment vertical="center"/>
    </xf>
    <xf numFmtId="49" fontId="74" fillId="0" borderId="4" xfId="0" applyNumberFormat="1" applyFont="1" applyFill="1" applyBorder="1" applyAlignment="1">
      <alignment vertical="center"/>
    </xf>
    <xf numFmtId="0" fontId="74" fillId="0" borderId="9" xfId="0" applyFont="1" applyFill="1" applyBorder="1" applyAlignment="1">
      <alignment vertical="center"/>
    </xf>
    <xf numFmtId="0" fontId="74" fillId="0" borderId="9" xfId="0" applyFont="1" applyFill="1" applyBorder="1" applyAlignment="1">
      <alignment horizontal="center" vertical="center"/>
    </xf>
    <xf numFmtId="189" fontId="81" fillId="8" borderId="7" xfId="8" applyNumberFormat="1" applyFont="1" applyFill="1" applyBorder="1" applyAlignment="1">
      <alignment wrapText="1"/>
    </xf>
    <xf numFmtId="189" fontId="75" fillId="8" borderId="7" xfId="5" applyNumberFormat="1" applyFont="1" applyFill="1" applyBorder="1" applyAlignment="1">
      <alignment wrapText="1"/>
    </xf>
    <xf numFmtId="189" fontId="75" fillId="9" borderId="7" xfId="5" applyNumberFormat="1" applyFont="1" applyFill="1" applyBorder="1"/>
    <xf numFmtId="190" fontId="75" fillId="9" borderId="9" xfId="5" applyNumberFormat="1" applyFont="1" applyFill="1" applyBorder="1"/>
    <xf numFmtId="0" fontId="4" fillId="0" borderId="7" xfId="8" applyFont="1" applyFill="1" applyBorder="1"/>
    <xf numFmtId="0" fontId="4" fillId="0" borderId="0" xfId="8" applyFont="1" applyFill="1" applyBorder="1"/>
    <xf numFmtId="49" fontId="80" fillId="0" borderId="7" xfId="0" applyNumberFormat="1" applyFont="1" applyFill="1" applyBorder="1" applyAlignment="1">
      <alignment vertical="center"/>
    </xf>
    <xf numFmtId="0" fontId="79" fillId="0" borderId="7" xfId="8" applyFont="1" applyFill="1" applyBorder="1" applyAlignment="1">
      <alignment vertical="center" wrapText="1"/>
    </xf>
    <xf numFmtId="0" fontId="80" fillId="0" borderId="7" xfId="0" applyFont="1" applyFill="1" applyBorder="1" applyAlignment="1">
      <alignment vertical="center"/>
    </xf>
    <xf numFmtId="190" fontId="5" fillId="0" borderId="11" xfId="5" applyNumberFormat="1" applyFont="1" applyFill="1" applyBorder="1"/>
    <xf numFmtId="192" fontId="4" fillId="4" borderId="0" xfId="9" applyNumberFormat="1" applyFont="1" applyFill="1" applyBorder="1" applyAlignment="1">
      <alignment vertical="center"/>
    </xf>
    <xf numFmtId="0" fontId="6" fillId="0" borderId="4" xfId="0" applyFont="1" applyFill="1" applyBorder="1" applyAlignment="1"/>
    <xf numFmtId="0" fontId="4" fillId="0" borderId="4" xfId="0" applyFont="1" applyFill="1" applyBorder="1" applyAlignment="1">
      <alignment horizontal="left" indent="2"/>
    </xf>
    <xf numFmtId="0" fontId="4" fillId="0" borderId="14" xfId="8" applyFont="1" applyFill="1" applyBorder="1" applyAlignment="1">
      <alignment wrapText="1"/>
    </xf>
    <xf numFmtId="0" fontId="4" fillId="0" borderId="6" xfId="0" applyFont="1" applyFill="1" applyBorder="1" applyAlignment="1">
      <alignment vertical="top"/>
    </xf>
    <xf numFmtId="49" fontId="4" fillId="0" borderId="6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horizontal="left"/>
    </xf>
    <xf numFmtId="0" fontId="4" fillId="0" borderId="2" xfId="8" applyFont="1" applyFill="1" applyBorder="1"/>
    <xf numFmtId="49" fontId="50" fillId="0" borderId="4" xfId="0" applyNumberFormat="1" applyFont="1" applyFill="1" applyBorder="1" applyAlignment="1">
      <alignment vertical="top"/>
    </xf>
    <xf numFmtId="0" fontId="50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indent="2"/>
    </xf>
    <xf numFmtId="49" fontId="6" fillId="0" borderId="4" xfId="0" applyNumberFormat="1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indent="2"/>
    </xf>
    <xf numFmtId="0" fontId="6" fillId="4" borderId="4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indent="2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0" fontId="26" fillId="8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left" vertical="center"/>
    </xf>
    <xf numFmtId="0" fontId="6" fillId="12" borderId="4" xfId="0" applyFont="1" applyFill="1" applyBorder="1" applyAlignment="1">
      <alignment horizontal="left"/>
    </xf>
    <xf numFmtId="0" fontId="27" fillId="0" borderId="7" xfId="8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4" xfId="8" applyFont="1" applyFill="1" applyBorder="1"/>
    <xf numFmtId="0" fontId="4" fillId="15" borderId="7" xfId="8" applyFont="1" applyFill="1" applyBorder="1" applyAlignment="1"/>
    <xf numFmtId="0" fontId="4" fillId="0" borderId="7" xfId="8" applyFont="1" applyBorder="1" applyAlignment="1">
      <alignment vertical="center"/>
    </xf>
    <xf numFmtId="0" fontId="4" fillId="0" borderId="7" xfId="8" applyFont="1" applyBorder="1" applyAlignment="1">
      <alignment vertical="top"/>
    </xf>
    <xf numFmtId="0" fontId="0" fillId="0" borderId="0" xfId="0" applyAlignment="1"/>
    <xf numFmtId="3" fontId="4" fillId="9" borderId="7" xfId="8" applyNumberFormat="1" applyFont="1" applyFill="1" applyBorder="1" applyAlignment="1"/>
    <xf numFmtId="0" fontId="25" fillId="0" borderId="0" xfId="8"/>
    <xf numFmtId="0" fontId="6" fillId="0" borderId="6" xfId="8" applyFont="1" applyBorder="1" applyAlignment="1">
      <alignment horizontal="center" vertical="center" wrapText="1"/>
    </xf>
    <xf numFmtId="0" fontId="15" fillId="0" borderId="0" xfId="8" applyFont="1"/>
    <xf numFmtId="0" fontId="4" fillId="0" borderId="0" xfId="8" applyFont="1" applyAlignment="1">
      <alignment horizontal="right"/>
    </xf>
    <xf numFmtId="0" fontId="6" fillId="0" borderId="9" xfId="8" applyFont="1" applyBorder="1" applyAlignment="1">
      <alignment horizontal="center"/>
    </xf>
    <xf numFmtId="0" fontId="15" fillId="0" borderId="0" xfId="8" applyFont="1" applyAlignment="1"/>
    <xf numFmtId="0" fontId="6" fillId="0" borderId="11" xfId="8" applyFont="1" applyBorder="1" applyAlignment="1">
      <alignment horizontal="center"/>
    </xf>
    <xf numFmtId="0" fontId="6" fillId="0" borderId="11" xfId="8" applyFont="1" applyBorder="1"/>
    <xf numFmtId="0" fontId="4" fillId="14" borderId="7" xfId="8" applyFont="1" applyFill="1" applyBorder="1"/>
    <xf numFmtId="0" fontId="4" fillId="0" borderId="7" xfId="8" applyFont="1" applyFill="1" applyBorder="1"/>
    <xf numFmtId="0" fontId="4" fillId="0" borderId="7" xfId="8" applyFont="1" applyBorder="1" applyAlignment="1">
      <alignment horizontal="left"/>
    </xf>
    <xf numFmtId="0" fontId="6" fillId="0" borderId="7" xfId="8" applyFont="1" applyBorder="1" applyAlignment="1">
      <alignment horizontal="left"/>
    </xf>
    <xf numFmtId="0" fontId="4" fillId="0" borderId="7" xfId="8" applyFont="1" applyBorder="1" applyAlignment="1">
      <alignment horizontal="left" indent="2"/>
    </xf>
    <xf numFmtId="0" fontId="4" fillId="0" borderId="0" xfId="8" applyFont="1" applyFill="1" applyBorder="1"/>
    <xf numFmtId="0" fontId="25" fillId="0" borderId="6" xfId="8" applyBorder="1"/>
    <xf numFmtId="0" fontId="6" fillId="0" borderId="7" xfId="8" applyFont="1" applyBorder="1" applyAlignment="1">
      <alignment horizontal="center" vertical="center" wrapText="1"/>
    </xf>
    <xf numFmtId="0" fontId="29" fillId="4" borderId="7" xfId="8" applyFont="1" applyFill="1" applyBorder="1" applyAlignment="1">
      <alignment vertical="center"/>
    </xf>
    <xf numFmtId="0" fontId="4" fillId="0" borderId="7" xfId="7" applyFont="1" applyFill="1" applyBorder="1" applyAlignment="1">
      <alignment vertical="top"/>
    </xf>
    <xf numFmtId="0" fontId="4" fillId="9" borderId="7" xfId="8" applyFont="1" applyFill="1" applyBorder="1" applyAlignment="1">
      <alignment horizontal="center" vertical="center"/>
    </xf>
    <xf numFmtId="0" fontId="4" fillId="9" borderId="7" xfId="8" applyFont="1" applyFill="1" applyBorder="1"/>
    <xf numFmtId="0" fontId="94" fillId="9" borderId="0" xfId="8" applyFont="1" applyFill="1" applyAlignment="1">
      <alignment horizontal="center"/>
    </xf>
    <xf numFmtId="0" fontId="4" fillId="9" borderId="7" xfId="8" applyFont="1" applyFill="1" applyBorder="1" applyAlignment="1">
      <alignment horizontal="center"/>
    </xf>
    <xf numFmtId="0" fontId="4" fillId="9" borderId="7" xfId="8" applyFont="1" applyFill="1" applyBorder="1" applyAlignment="1">
      <alignment horizontal="right"/>
    </xf>
    <xf numFmtId="0" fontId="4" fillId="9" borderId="7" xfId="8" applyFont="1" applyFill="1" applyBorder="1" applyAlignment="1"/>
    <xf numFmtId="0" fontId="4" fillId="9" borderId="0" xfId="8" applyFont="1" applyFill="1" applyAlignment="1">
      <alignment horizontal="right"/>
    </xf>
    <xf numFmtId="0" fontId="4" fillId="15" borderId="7" xfId="8" applyFont="1" applyFill="1" applyBorder="1"/>
    <xf numFmtId="0" fontId="6" fillId="15" borderId="7" xfId="8" applyFont="1" applyFill="1" applyBorder="1" applyAlignment="1">
      <alignment horizontal="left"/>
    </xf>
    <xf numFmtId="0" fontId="27" fillId="0" borderId="7" xfId="8" applyFont="1" applyBorder="1" applyAlignment="1"/>
    <xf numFmtId="0" fontId="27" fillId="0" borderId="7" xfId="8" applyFont="1" applyBorder="1" applyAlignment="1">
      <alignment vertical="top"/>
    </xf>
    <xf numFmtId="0" fontId="46" fillId="0" borderId="6" xfId="8" applyFont="1" applyFill="1" applyBorder="1" applyAlignment="1">
      <alignment wrapText="1"/>
    </xf>
    <xf numFmtId="0" fontId="46" fillId="0" borderId="17" xfId="8" applyFont="1" applyFill="1" applyBorder="1" applyAlignment="1">
      <alignment wrapText="1"/>
    </xf>
    <xf numFmtId="189" fontId="5" fillId="4" borderId="7" xfId="5" applyNumberFormat="1" applyFont="1" applyFill="1" applyBorder="1" applyAlignment="1"/>
    <xf numFmtId="189" fontId="5" fillId="4" borderId="7" xfId="5" applyNumberFormat="1" applyFont="1" applyFill="1" applyBorder="1" applyAlignment="1">
      <alignment horizontal="right"/>
    </xf>
    <xf numFmtId="0" fontId="15" fillId="0" borderId="6" xfId="8" applyFont="1" applyFill="1" applyBorder="1" applyAlignment="1">
      <alignment wrapText="1"/>
    </xf>
    <xf numFmtId="0" fontId="0" fillId="0" borderId="7" xfId="0" applyBorder="1" applyAlignment="1"/>
    <xf numFmtId="0" fontId="0" fillId="0" borderId="7" xfId="0" applyBorder="1"/>
    <xf numFmtId="0" fontId="6" fillId="0" borderId="7" xfId="8" applyFont="1" applyBorder="1" applyAlignment="1">
      <alignment vertical="top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0" fontId="88" fillId="0" borderId="0" xfId="0" applyFont="1" applyFill="1" applyBorder="1" applyAlignment="1">
      <alignment wrapText="1"/>
    </xf>
    <xf numFmtId="3" fontId="88" fillId="0" borderId="0" xfId="0" applyNumberFormat="1" applyFont="1" applyFill="1" applyBorder="1" applyAlignment="1">
      <alignment wrapText="1"/>
    </xf>
    <xf numFmtId="0" fontId="12" fillId="0" borderId="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3" fontId="12" fillId="2" borderId="7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71" fillId="0" borderId="7" xfId="0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wrapText="1"/>
    </xf>
    <xf numFmtId="0" fontId="71" fillId="0" borderId="7" xfId="0" applyFont="1" applyFill="1" applyBorder="1" applyAlignment="1">
      <alignment horizontal="center" wrapText="1"/>
    </xf>
    <xf numFmtId="0" fontId="71" fillId="2" borderId="7" xfId="0" applyFont="1" applyFill="1" applyBorder="1" applyAlignment="1">
      <alignment horizontal="center" wrapText="1"/>
    </xf>
    <xf numFmtId="3" fontId="71" fillId="0" borderId="7" xfId="0" applyNumberFormat="1" applyFont="1" applyFill="1" applyBorder="1" applyAlignment="1">
      <alignment horizontal="center" wrapText="1"/>
    </xf>
    <xf numFmtId="0" fontId="72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71" fillId="0" borderId="7" xfId="0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2" fillId="9" borderId="0" xfId="0" applyNumberFormat="1" applyFont="1" applyFill="1" applyBorder="1" applyAlignment="1">
      <alignment wrapText="1"/>
    </xf>
    <xf numFmtId="3" fontId="12" fillId="9" borderId="7" xfId="0" applyNumberFormat="1" applyFont="1" applyFill="1" applyBorder="1" applyAlignment="1">
      <alignment horizontal="center" wrapText="1"/>
    </xf>
    <xf numFmtId="3" fontId="11" fillId="8" borderId="7" xfId="0" applyNumberFormat="1" applyFont="1" applyFill="1" applyBorder="1" applyAlignment="1">
      <alignment horizontal="center" wrapText="1"/>
    </xf>
    <xf numFmtId="3" fontId="12" fillId="9" borderId="7" xfId="0" applyNumberFormat="1" applyFont="1" applyFill="1" applyBorder="1" applyAlignment="1">
      <alignment horizontal="center" vertical="top" wrapText="1"/>
    </xf>
    <xf numFmtId="3" fontId="71" fillId="9" borderId="7" xfId="0" applyNumberFormat="1" applyFont="1" applyFill="1" applyBorder="1" applyAlignment="1">
      <alignment horizontal="center" wrapText="1"/>
    </xf>
    <xf numFmtId="3" fontId="72" fillId="8" borderId="7" xfId="0" applyNumberFormat="1" applyFont="1" applyFill="1" applyBorder="1" applyAlignment="1">
      <alignment horizontal="center" wrapText="1"/>
    </xf>
    <xf numFmtId="3" fontId="11" fillId="8" borderId="7" xfId="0" applyNumberFormat="1" applyFont="1" applyFill="1" applyBorder="1" applyAlignment="1">
      <alignment horizontal="center" vertical="center"/>
    </xf>
    <xf numFmtId="3" fontId="88" fillId="9" borderId="0" xfId="0" applyNumberFormat="1" applyFont="1" applyFill="1" applyBorder="1" applyAlignment="1">
      <alignment wrapText="1"/>
    </xf>
    <xf numFmtId="0" fontId="6" fillId="0" borderId="9" xfId="8" applyFont="1" applyBorder="1" applyAlignment="1">
      <alignment horizontal="left"/>
    </xf>
    <xf numFmtId="3" fontId="6" fillId="15" borderId="7" xfId="8" applyNumberFormat="1" applyFont="1" applyFill="1" applyBorder="1" applyAlignment="1"/>
    <xf numFmtId="0" fontId="12" fillId="0" borderId="11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wrapText="1"/>
    </xf>
    <xf numFmtId="0" fontId="69" fillId="0" borderId="0" xfId="0" applyFont="1" applyAlignment="1"/>
    <xf numFmtId="0" fontId="55" fillId="0" borderId="0" xfId="0" applyFont="1" applyFill="1" applyBorder="1" applyAlignment="1">
      <alignment wrapText="1"/>
    </xf>
    <xf numFmtId="3" fontId="59" fillId="0" borderId="7" xfId="11" applyNumberFormat="1" applyFont="1" applyBorder="1" applyAlignment="1">
      <alignment vertical="center"/>
    </xf>
    <xf numFmtId="0" fontId="59" fillId="0" borderId="0" xfId="11" applyFont="1" applyBorder="1" applyAlignment="1">
      <alignment vertical="center"/>
    </xf>
    <xf numFmtId="0" fontId="59" fillId="0" borderId="7" xfId="11" applyFont="1" applyBorder="1" applyAlignment="1">
      <alignment vertical="center"/>
    </xf>
    <xf numFmtId="0" fontId="59" fillId="0" borderId="0" xfId="0" applyFont="1" applyFill="1" applyBorder="1"/>
    <xf numFmtId="0" fontId="59" fillId="0" borderId="0" xfId="11" applyFont="1" applyBorder="1"/>
    <xf numFmtId="0" fontId="0" fillId="0" borderId="0" xfId="0" applyFont="1"/>
    <xf numFmtId="0" fontId="61" fillId="0" borderId="0" xfId="8" applyFont="1" applyFill="1" applyBorder="1" applyAlignment="1"/>
    <xf numFmtId="0" fontId="97" fillId="0" borderId="0" xfId="6" applyFont="1" applyFill="1" applyBorder="1" applyAlignment="1">
      <alignment horizontal="center"/>
    </xf>
    <xf numFmtId="0" fontId="58" fillId="0" borderId="0" xfId="11" applyFont="1" applyBorder="1" applyAlignment="1"/>
    <xf numFmtId="0" fontId="58" fillId="0" borderId="0" xfId="11" applyFont="1" applyBorder="1"/>
    <xf numFmtId="0" fontId="59" fillId="0" borderId="0" xfId="8" applyFont="1" applyFill="1" applyBorder="1"/>
    <xf numFmtId="0" fontId="59" fillId="0" borderId="0" xfId="11" applyFont="1" applyBorder="1" applyAlignment="1">
      <alignment horizontal="right"/>
    </xf>
    <xf numFmtId="0" fontId="60" fillId="0" borderId="7" xfId="11" applyFont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11" xfId="11" applyFont="1" applyBorder="1" applyAlignment="1">
      <alignment horizontal="center"/>
    </xf>
    <xf numFmtId="0" fontId="60" fillId="0" borderId="11" xfId="11" applyFont="1" applyBorder="1"/>
    <xf numFmtId="190" fontId="61" fillId="0" borderId="11" xfId="5" applyNumberFormat="1" applyFont="1" applyFill="1" applyBorder="1"/>
    <xf numFmtId="0" fontId="75" fillId="0" borderId="14" xfId="0" applyFont="1" applyFill="1" applyBorder="1"/>
    <xf numFmtId="0" fontId="60" fillId="0" borderId="6" xfId="11" applyFont="1" applyFill="1" applyBorder="1"/>
    <xf numFmtId="0" fontId="60" fillId="0" borderId="6" xfId="11" applyFont="1" applyBorder="1" applyAlignment="1">
      <alignment horizontal="center"/>
    </xf>
    <xf numFmtId="0" fontId="60" fillId="0" borderId="6" xfId="11" applyFont="1" applyBorder="1"/>
    <xf numFmtId="189" fontId="58" fillId="0" borderId="6" xfId="5" applyNumberFormat="1" applyFont="1" applyFill="1" applyBorder="1"/>
    <xf numFmtId="0" fontId="81" fillId="0" borderId="9" xfId="0" applyFont="1" applyFill="1" applyBorder="1"/>
    <xf numFmtId="0" fontId="81" fillId="0" borderId="14" xfId="0" applyFont="1" applyFill="1" applyBorder="1"/>
    <xf numFmtId="49" fontId="60" fillId="0" borderId="7" xfId="11" applyNumberFormat="1" applyFont="1" applyFill="1" applyBorder="1"/>
    <xf numFmtId="0" fontId="60" fillId="0" borderId="7" xfId="11" applyFont="1" applyBorder="1"/>
    <xf numFmtId="0" fontId="58" fillId="0" borderId="7" xfId="8" applyFont="1" applyFill="1" applyBorder="1" applyAlignment="1">
      <alignment wrapText="1"/>
    </xf>
    <xf numFmtId="189" fontId="58" fillId="0" borderId="7" xfId="5" applyNumberFormat="1" applyFont="1" applyFill="1" applyBorder="1" applyAlignment="1">
      <alignment wrapText="1"/>
    </xf>
    <xf numFmtId="0" fontId="81" fillId="0" borderId="9" xfId="8" applyFont="1" applyFill="1" applyBorder="1" applyAlignment="1">
      <alignment wrapText="1"/>
    </xf>
    <xf numFmtId="0" fontId="81" fillId="0" borderId="0" xfId="8" applyFont="1" applyFill="1" applyBorder="1" applyAlignment="1">
      <alignment wrapText="1"/>
    </xf>
    <xf numFmtId="0" fontId="59" fillId="0" borderId="7" xfId="11" applyFont="1" applyBorder="1"/>
    <xf numFmtId="0" fontId="59" fillId="14" borderId="7" xfId="11" applyFont="1" applyFill="1" applyBorder="1"/>
    <xf numFmtId="0" fontId="59" fillId="0" borderId="7" xfId="11" applyFont="1" applyFill="1" applyBorder="1"/>
    <xf numFmtId="189" fontId="63" fillId="0" borderId="7" xfId="8" applyNumberFormat="1" applyFont="1" applyFill="1" applyBorder="1" applyAlignment="1">
      <alignment wrapText="1"/>
    </xf>
    <xf numFmtId="0" fontId="63" fillId="0" borderId="7" xfId="8" applyFont="1" applyFill="1" applyBorder="1" applyAlignment="1">
      <alignment wrapText="1"/>
    </xf>
    <xf numFmtId="0" fontId="60" fillId="0" borderId="7" xfId="11" applyFont="1" applyFill="1" applyBorder="1" applyAlignment="1">
      <alignment horizontal="left"/>
    </xf>
    <xf numFmtId="0" fontId="59" fillId="0" borderId="7" xfId="11" applyFont="1" applyBorder="1" applyAlignment="1">
      <alignment horizontal="left"/>
    </xf>
    <xf numFmtId="0" fontId="60" fillId="0" borderId="7" xfId="11" applyFont="1" applyBorder="1" applyAlignment="1">
      <alignment horizontal="left"/>
    </xf>
    <xf numFmtId="0" fontId="81" fillId="0" borderId="9" xfId="8" applyFont="1" applyFill="1" applyBorder="1" applyAlignment="1"/>
    <xf numFmtId="0" fontId="81" fillId="0" borderId="0" xfId="8" applyFont="1" applyFill="1" applyBorder="1" applyAlignment="1"/>
    <xf numFmtId="0" fontId="59" fillId="0" borderId="9" xfId="8" applyFont="1" applyFill="1" applyBorder="1" applyAlignment="1"/>
    <xf numFmtId="0" fontId="59" fillId="0" borderId="0" xfId="8" applyFont="1" applyFill="1" applyBorder="1" applyAlignment="1"/>
    <xf numFmtId="193" fontId="89" fillId="0" borderId="0" xfId="5" applyNumberFormat="1" applyFont="1" applyFill="1" applyBorder="1" applyAlignment="1">
      <alignment horizontal="center" vertical="top"/>
    </xf>
    <xf numFmtId="0" fontId="59" fillId="0" borderId="7" xfId="11" applyFont="1" applyBorder="1" applyAlignment="1">
      <alignment horizontal="left" indent="2"/>
    </xf>
    <xf numFmtId="0" fontId="98" fillId="0" borderId="7" xfId="11" applyFont="1" applyBorder="1"/>
    <xf numFmtId="193" fontId="89" fillId="0" borderId="7" xfId="5" applyNumberFormat="1" applyFont="1" applyFill="1" applyBorder="1" applyAlignment="1">
      <alignment horizontal="center" vertical="top"/>
    </xf>
    <xf numFmtId="0" fontId="59" fillId="0" borderId="7" xfId="11" applyFont="1" applyBorder="1" applyAlignment="1">
      <alignment vertical="top" wrapText="1"/>
    </xf>
    <xf numFmtId="0" fontId="60" fillId="0" borderId="4" xfId="11" applyFont="1" applyBorder="1"/>
    <xf numFmtId="0" fontId="59" fillId="0" borderId="4" xfId="11" applyFont="1" applyBorder="1" applyAlignment="1">
      <alignment vertical="center"/>
    </xf>
    <xf numFmtId="0" fontId="60" fillId="0" borderId="4" xfId="11" applyFont="1" applyBorder="1" applyAlignment="1">
      <alignment vertical="center"/>
    </xf>
    <xf numFmtId="0" fontId="59" fillId="0" borderId="9" xfId="8" applyFont="1" applyFill="1" applyBorder="1"/>
    <xf numFmtId="0" fontId="75" fillId="0" borderId="22" xfId="0" applyFont="1" applyFill="1" applyBorder="1"/>
    <xf numFmtId="0" fontId="59" fillId="9" borderId="6" xfId="8" applyFont="1" applyFill="1" applyBorder="1"/>
    <xf numFmtId="0" fontId="60" fillId="9" borderId="4" xfId="11" applyFont="1" applyFill="1" applyBorder="1"/>
    <xf numFmtId="0" fontId="59" fillId="9" borderId="7" xfId="11" applyFont="1" applyFill="1" applyBorder="1"/>
    <xf numFmtId="193" fontId="89" fillId="9" borderId="7" xfId="5" applyNumberFormat="1" applyFont="1" applyFill="1" applyBorder="1" applyAlignment="1">
      <alignment horizontal="center" vertical="top"/>
    </xf>
    <xf numFmtId="0" fontId="0" fillId="9" borderId="0" xfId="0" applyFont="1" applyFill="1"/>
    <xf numFmtId="0" fontId="59" fillId="9" borderId="0" xfId="8" applyFont="1" applyFill="1" applyBorder="1"/>
    <xf numFmtId="0" fontId="60" fillId="9" borderId="0" xfId="11" applyFont="1" applyFill="1" applyBorder="1" applyAlignment="1">
      <alignment vertical="center"/>
    </xf>
    <xf numFmtId="0" fontId="59" fillId="9" borderId="0" xfId="11" applyFont="1" applyFill="1" applyBorder="1"/>
    <xf numFmtId="193" fontId="89" fillId="9" borderId="0" xfId="5" applyNumberFormat="1" applyFont="1" applyFill="1" applyBorder="1" applyAlignment="1">
      <alignment horizontal="center" vertical="top"/>
    </xf>
    <xf numFmtId="0" fontId="60" fillId="0" borderId="7" xfId="11" applyFont="1" applyBorder="1" applyAlignment="1"/>
    <xf numFmtId="0" fontId="70" fillId="8" borderId="7" xfId="8" applyFont="1" applyFill="1" applyBorder="1" applyAlignment="1">
      <alignment wrapText="1"/>
    </xf>
    <xf numFmtId="0" fontId="70" fillId="10" borderId="7" xfId="8" applyFont="1" applyFill="1" applyBorder="1" applyAlignment="1">
      <alignment vertical="top" wrapText="1"/>
    </xf>
    <xf numFmtId="3" fontId="12" fillId="8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9" borderId="0" xfId="0" applyFill="1"/>
    <xf numFmtId="0" fontId="3" fillId="9" borderId="0" xfId="6" applyFont="1" applyFill="1" applyBorder="1" applyAlignment="1">
      <alignment horizontal="center"/>
    </xf>
    <xf numFmtId="190" fontId="5" fillId="9" borderId="11" xfId="5" applyNumberFormat="1" applyFont="1" applyFill="1" applyBorder="1"/>
    <xf numFmtId="189" fontId="15" fillId="9" borderId="6" xfId="5" applyNumberFormat="1" applyFont="1" applyFill="1" applyBorder="1"/>
    <xf numFmtId="0" fontId="36" fillId="9" borderId="7" xfId="8" applyFont="1" applyFill="1" applyBorder="1" applyAlignment="1">
      <alignment wrapText="1"/>
    </xf>
    <xf numFmtId="189" fontId="36" fillId="9" borderId="7" xfId="5" applyNumberFormat="1" applyFont="1" applyFill="1" applyBorder="1" applyAlignment="1">
      <alignment wrapText="1"/>
    </xf>
    <xf numFmtId="189" fontId="49" fillId="9" borderId="7" xfId="8" applyNumberFormat="1" applyFont="1" applyFill="1" applyBorder="1" applyAlignment="1">
      <alignment wrapText="1"/>
    </xf>
    <xf numFmtId="0" fontId="49" fillId="9" borderId="7" xfId="8" applyFont="1" applyFill="1" applyBorder="1" applyAlignment="1">
      <alignment wrapText="1"/>
    </xf>
    <xf numFmtId="0" fontId="46" fillId="8" borderId="7" xfId="11" applyFont="1" applyFill="1" applyBorder="1" applyAlignment="1">
      <alignment vertical="top"/>
    </xf>
    <xf numFmtId="0" fontId="46" fillId="8" borderId="6" xfId="11" applyFont="1" applyFill="1" applyBorder="1" applyAlignment="1">
      <alignment vertical="top"/>
    </xf>
    <xf numFmtId="193" fontId="46" fillId="9" borderId="7" xfId="5" applyNumberFormat="1" applyFont="1" applyFill="1" applyBorder="1" applyAlignment="1">
      <alignment horizontal="right" vertical="top"/>
    </xf>
    <xf numFmtId="0" fontId="45" fillId="8" borderId="7" xfId="11" applyFont="1" applyFill="1" applyBorder="1" applyAlignment="1">
      <alignment vertical="top"/>
    </xf>
    <xf numFmtId="193" fontId="45" fillId="8" borderId="7" xfId="5" applyNumberFormat="1" applyFont="1" applyFill="1" applyBorder="1" applyAlignment="1">
      <alignment vertical="top"/>
    </xf>
    <xf numFmtId="193" fontId="46" fillId="8" borderId="7" xfId="5" applyNumberFormat="1" applyFont="1" applyFill="1" applyBorder="1" applyAlignment="1">
      <alignment horizontal="center" vertical="top"/>
    </xf>
    <xf numFmtId="193" fontId="46" fillId="9" borderId="7" xfId="5" applyNumberFormat="1" applyFont="1" applyFill="1" applyBorder="1" applyAlignment="1">
      <alignment horizontal="center" vertical="top"/>
    </xf>
    <xf numFmtId="0" fontId="4" fillId="9" borderId="7" xfId="0" applyFont="1" applyFill="1" applyBorder="1"/>
    <xf numFmtId="193" fontId="71" fillId="9" borderId="7" xfId="5" applyNumberFormat="1" applyFont="1" applyFill="1" applyBorder="1" applyAlignment="1">
      <alignment horizontal="center" vertical="top"/>
    </xf>
    <xf numFmtId="193" fontId="71" fillId="9" borderId="0" xfId="5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wrapText="1"/>
    </xf>
    <xf numFmtId="0" fontId="36" fillId="0" borderId="7" xfId="0" applyFont="1" applyFill="1" applyBorder="1" applyAlignment="1">
      <alignment vertical="top" wrapText="1"/>
    </xf>
    <xf numFmtId="0" fontId="1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15" fillId="4" borderId="7" xfId="0" applyFont="1" applyFill="1" applyBorder="1" applyAlignment="1">
      <alignment wrapText="1"/>
    </xf>
    <xf numFmtId="0" fontId="36" fillId="0" borderId="4" xfId="0" applyFont="1" applyFill="1" applyBorder="1" applyAlignment="1">
      <alignment vertical="top" wrapText="1"/>
    </xf>
    <xf numFmtId="0" fontId="36" fillId="4" borderId="4" xfId="0" applyFont="1" applyFill="1" applyBorder="1" applyAlignment="1">
      <alignment wrapText="1"/>
    </xf>
    <xf numFmtId="0" fontId="36" fillId="4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36" fillId="0" borderId="4" xfId="0" applyFont="1" applyFill="1" applyBorder="1" applyAlignment="1">
      <alignment horizontal="left" vertical="top"/>
    </xf>
    <xf numFmtId="0" fontId="49" fillId="0" borderId="7" xfId="0" applyFont="1" applyFill="1" applyBorder="1" applyAlignment="1">
      <alignment vertical="center"/>
    </xf>
    <xf numFmtId="0" fontId="79" fillId="0" borderId="6" xfId="8" applyFont="1" applyFill="1" applyBorder="1" applyAlignment="1"/>
    <xf numFmtId="0" fontId="79" fillId="0" borderId="17" xfId="8" applyFont="1" applyFill="1" applyBorder="1" applyAlignment="1"/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 indent="2"/>
    </xf>
    <xf numFmtId="0" fontId="4" fillId="0" borderId="7" xfId="0" applyFont="1" applyFill="1" applyBorder="1" applyAlignment="1">
      <alignment horizontal="left" vertical="top" wrapText="1"/>
    </xf>
    <xf numFmtId="0" fontId="46" fillId="0" borderId="7" xfId="0" applyFont="1" applyFill="1" applyBorder="1" applyAlignment="1">
      <alignment vertical="top" wrapText="1"/>
    </xf>
    <xf numFmtId="49" fontId="46" fillId="0" borderId="6" xfId="0" applyNumberFormat="1" applyFont="1" applyFill="1" applyBorder="1" applyAlignment="1">
      <alignment horizontal="left" wrapText="1" indent="2"/>
    </xf>
    <xf numFmtId="190" fontId="46" fillId="0" borderId="16" xfId="5" applyNumberFormat="1" applyFont="1" applyFill="1" applyBorder="1"/>
    <xf numFmtId="49" fontId="4" fillId="4" borderId="0" xfId="0" applyNumberFormat="1" applyFont="1" applyFill="1" applyBorder="1" applyAlignment="1">
      <alignment horizontal="left" indent="2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0" xfId="0" applyFont="1" applyFill="1" applyBorder="1" applyAlignment="1">
      <alignment horizontal="center"/>
    </xf>
    <xf numFmtId="189" fontId="4" fillId="0" borderId="0" xfId="5" applyNumberFormat="1" applyFont="1" applyFill="1" applyBorder="1" applyAlignment="1">
      <alignment horizontal="right"/>
    </xf>
    <xf numFmtId="43" fontId="4" fillId="0" borderId="0" xfId="5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vertical="top"/>
    </xf>
    <xf numFmtId="0" fontId="5" fillId="0" borderId="7" xfId="0" applyFont="1" applyFill="1" applyBorder="1"/>
    <xf numFmtId="0" fontId="13" fillId="0" borderId="7" xfId="0" applyFont="1" applyFill="1" applyBorder="1"/>
    <xf numFmtId="0" fontId="15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left" indent="2"/>
    </xf>
    <xf numFmtId="0" fontId="33" fillId="0" borderId="4" xfId="0" applyFont="1" applyFill="1" applyBorder="1"/>
    <xf numFmtId="0" fontId="15" fillId="0" borderId="4" xfId="0" applyFont="1" applyFill="1" applyBorder="1" applyAlignment="1">
      <alignment vertical="center"/>
    </xf>
    <xf numFmtId="49" fontId="29" fillId="0" borderId="6" xfId="0" applyNumberFormat="1" applyFont="1" applyFill="1" applyBorder="1" applyAlignment="1">
      <alignment vertical="center"/>
    </xf>
    <xf numFmtId="190" fontId="4" fillId="0" borderId="6" xfId="5" applyNumberFormat="1" applyFont="1" applyFill="1" applyBorder="1"/>
    <xf numFmtId="0" fontId="49" fillId="0" borderId="6" xfId="8" applyFont="1" applyFill="1" applyBorder="1"/>
    <xf numFmtId="0" fontId="49" fillId="0" borderId="17" xfId="8" applyFont="1" applyFill="1" applyBorder="1"/>
    <xf numFmtId="189" fontId="23" fillId="0" borderId="7" xfId="8" applyNumberFormat="1" applyFont="1" applyFill="1" applyBorder="1"/>
    <xf numFmtId="189" fontId="23" fillId="6" borderId="7" xfId="8" applyNumberFormat="1" applyFont="1" applyFill="1" applyBorder="1" applyAlignment="1">
      <alignment wrapText="1"/>
    </xf>
    <xf numFmtId="0" fontId="49" fillId="0" borderId="6" xfId="8" applyFont="1" applyFill="1" applyBorder="1" applyAlignment="1">
      <alignment wrapText="1"/>
    </xf>
    <xf numFmtId="0" fontId="41" fillId="0" borderId="6" xfId="8" applyFont="1" applyFill="1" applyBorder="1" applyAlignment="1">
      <alignment wrapText="1"/>
    </xf>
    <xf numFmtId="0" fontId="49" fillId="0" borderId="6" xfId="7" applyFont="1" applyFill="1" applyBorder="1" applyAlignment="1">
      <alignment horizontal="left" vertical="top"/>
    </xf>
    <xf numFmtId="0" fontId="49" fillId="3" borderId="6" xfId="8" applyFont="1" applyFill="1" applyBorder="1" applyAlignment="1">
      <alignment wrapText="1"/>
    </xf>
    <xf numFmtId="193" fontId="49" fillId="4" borderId="6" xfId="9" applyNumberFormat="1" applyFont="1" applyFill="1" applyBorder="1" applyAlignment="1">
      <alignment wrapText="1"/>
    </xf>
    <xf numFmtId="0" fontId="49" fillId="4" borderId="6" xfId="8" applyFont="1" applyFill="1" applyBorder="1" applyAlignment="1">
      <alignment horizontal="center" wrapText="1"/>
    </xf>
    <xf numFmtId="0" fontId="49" fillId="4" borderId="6" xfId="8" applyFont="1" applyFill="1" applyBorder="1" applyAlignment="1">
      <alignment wrapText="1"/>
    </xf>
    <xf numFmtId="189" fontId="49" fillId="4" borderId="6" xfId="5" applyNumberFormat="1" applyFont="1" applyFill="1" applyBorder="1" applyAlignment="1">
      <alignment horizontal="right" vertical="top" wrapText="1"/>
    </xf>
    <xf numFmtId="192" fontId="49" fillId="4" borderId="6" xfId="9" applyNumberFormat="1" applyFont="1" applyFill="1" applyBorder="1" applyAlignment="1">
      <alignment horizontal="right" vertical="top" wrapText="1"/>
    </xf>
    <xf numFmtId="0" fontId="49" fillId="0" borderId="7" xfId="8" applyFont="1" applyFill="1" applyBorder="1" applyAlignment="1">
      <alignment vertical="top" wrapText="1"/>
    </xf>
    <xf numFmtId="0" fontId="49" fillId="0" borderId="17" xfId="8" applyFont="1" applyFill="1" applyBorder="1" applyAlignment="1">
      <alignment wrapText="1"/>
    </xf>
    <xf numFmtId="0" fontId="49" fillId="0" borderId="6" xfId="8" applyFont="1" applyFill="1" applyBorder="1" applyAlignment="1">
      <alignment vertical="center" wrapText="1"/>
    </xf>
    <xf numFmtId="0" fontId="49" fillId="0" borderId="17" xfId="8" applyFont="1" applyFill="1" applyBorder="1" applyAlignment="1">
      <alignment vertical="center" wrapText="1"/>
    </xf>
    <xf numFmtId="189" fontId="65" fillId="0" borderId="7" xfId="0" applyNumberFormat="1" applyFont="1" applyFill="1" applyBorder="1" applyAlignment="1">
      <alignment vertical="top"/>
    </xf>
    <xf numFmtId="0" fontId="46" fillId="0" borderId="14" xfId="0" applyFont="1" applyFill="1" applyBorder="1" applyAlignment="1">
      <alignment vertical="top" wrapText="1"/>
    </xf>
    <xf numFmtId="0" fontId="27" fillId="0" borderId="7" xfId="8" applyFont="1" applyFill="1" applyBorder="1" applyAlignment="1"/>
    <xf numFmtId="0" fontId="46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4" fillId="9" borderId="0" xfId="8" applyFont="1" applyFill="1" applyBorder="1" applyAlignment="1">
      <alignment vertical="top"/>
    </xf>
    <xf numFmtId="0" fontId="15" fillId="9" borderId="0" xfId="8" applyFont="1" applyFill="1" applyBorder="1" applyAlignment="1">
      <alignment vertical="top"/>
    </xf>
    <xf numFmtId="0" fontId="6" fillId="9" borderId="0" xfId="8" applyFont="1" applyFill="1" applyBorder="1" applyAlignment="1">
      <alignment horizontal="center" vertical="top"/>
    </xf>
    <xf numFmtId="0" fontId="5" fillId="9" borderId="0" xfId="0" applyFont="1" applyFill="1" applyBorder="1"/>
    <xf numFmtId="0" fontId="57" fillId="9" borderId="0" xfId="0" applyFont="1" applyFill="1" applyBorder="1"/>
    <xf numFmtId="0" fontId="15" fillId="9" borderId="0" xfId="0" applyFont="1" applyFill="1" applyBorder="1"/>
    <xf numFmtId="0" fontId="44" fillId="9" borderId="0" xfId="0" applyFont="1" applyFill="1" applyBorder="1"/>
    <xf numFmtId="3" fontId="36" fillId="9" borderId="0" xfId="8" applyNumberFormat="1" applyFont="1" applyFill="1" applyBorder="1" applyAlignment="1">
      <alignment wrapText="1"/>
    </xf>
    <xf numFmtId="0" fontId="44" fillId="9" borderId="0" xfId="8" applyFont="1" applyFill="1" applyBorder="1" applyAlignment="1">
      <alignment wrapText="1"/>
    </xf>
    <xf numFmtId="0" fontId="46" fillId="9" borderId="0" xfId="8" applyFont="1" applyFill="1" applyBorder="1" applyAlignment="1">
      <alignment vertical="top"/>
    </xf>
    <xf numFmtId="3" fontId="46" fillId="9" borderId="0" xfId="8" applyNumberFormat="1" applyFont="1" applyFill="1" applyBorder="1" applyAlignment="1">
      <alignment vertical="top"/>
    </xf>
    <xf numFmtId="0" fontId="25" fillId="9" borderId="0" xfId="0" applyFont="1" applyFill="1" applyBorder="1"/>
    <xf numFmtId="0" fontId="6" fillId="0" borderId="7" xfId="0" applyFont="1" applyFill="1" applyBorder="1" applyAlignment="1">
      <alignment horizontal="center" vertical="top"/>
    </xf>
    <xf numFmtId="189" fontId="61" fillId="0" borderId="7" xfId="0" applyNumberFormat="1" applyFont="1" applyFill="1" applyBorder="1" applyAlignment="1">
      <alignment vertical="top"/>
    </xf>
    <xf numFmtId="0" fontId="49" fillId="0" borderId="4" xfId="0" applyFont="1" applyFill="1" applyBorder="1" applyAlignment="1">
      <alignment vertical="top"/>
    </xf>
    <xf numFmtId="0" fontId="50" fillId="3" borderId="5" xfId="0" applyFont="1" applyFill="1" applyBorder="1" applyAlignment="1">
      <alignment vertical="top"/>
    </xf>
    <xf numFmtId="0" fontId="46" fillId="0" borderId="4" xfId="0" applyFont="1" applyFill="1" applyBorder="1" applyAlignment="1">
      <alignment vertical="top"/>
    </xf>
    <xf numFmtId="0" fontId="46" fillId="3" borderId="5" xfId="0" applyFont="1" applyFill="1" applyBorder="1" applyAlignment="1">
      <alignment vertical="top"/>
    </xf>
    <xf numFmtId="0" fontId="46" fillId="0" borderId="17" xfId="8" applyFont="1" applyFill="1" applyBorder="1" applyAlignment="1">
      <alignment horizontal="left" vertical="top"/>
    </xf>
    <xf numFmtId="0" fontId="46" fillId="2" borderId="6" xfId="8" applyFont="1" applyFill="1" applyBorder="1" applyAlignment="1">
      <alignment vertical="top"/>
    </xf>
    <xf numFmtId="0" fontId="46" fillId="4" borderId="6" xfId="7" applyFont="1" applyFill="1" applyBorder="1" applyAlignment="1">
      <alignment horizontal="center" vertical="top"/>
    </xf>
    <xf numFmtId="0" fontId="48" fillId="4" borderId="6" xfId="7" applyFont="1" applyFill="1" applyBorder="1" applyAlignment="1">
      <alignment horizontal="center" vertical="top"/>
    </xf>
    <xf numFmtId="0" fontId="46" fillId="2" borderId="6" xfId="8" applyFont="1" applyFill="1" applyBorder="1" applyAlignment="1">
      <alignment horizontal="right" vertical="top"/>
    </xf>
    <xf numFmtId="193" fontId="46" fillId="0" borderId="6" xfId="9" applyNumberFormat="1" applyFont="1" applyFill="1" applyBorder="1" applyAlignment="1">
      <alignment vertical="top"/>
    </xf>
    <xf numFmtId="189" fontId="58" fillId="4" borderId="6" xfId="5" applyNumberFormat="1" applyFont="1" applyFill="1" applyBorder="1" applyAlignment="1">
      <alignment vertical="top"/>
    </xf>
    <xf numFmtId="192" fontId="46" fillId="0" borderId="6" xfId="9" applyNumberFormat="1" applyFont="1" applyFill="1" applyBorder="1" applyAlignment="1">
      <alignment vertical="top"/>
    </xf>
    <xf numFmtId="189" fontId="61" fillId="0" borderId="6" xfId="5" applyNumberFormat="1" applyFont="1" applyFill="1" applyBorder="1" applyAlignment="1">
      <alignment vertical="top"/>
    </xf>
    <xf numFmtId="0" fontId="15" fillId="0" borderId="17" xfId="8" applyFont="1" applyFill="1" applyBorder="1" applyAlignment="1">
      <alignment wrapText="1"/>
    </xf>
    <xf numFmtId="0" fontId="5" fillId="4" borderId="7" xfId="7" applyFont="1" applyFill="1" applyBorder="1" applyAlignment="1">
      <alignment horizontal="left" vertical="top" wrapText="1"/>
    </xf>
    <xf numFmtId="0" fontId="68" fillId="3" borderId="7" xfId="8" applyFont="1" applyFill="1" applyBorder="1" applyAlignment="1">
      <alignment vertical="top" wrapText="1"/>
    </xf>
    <xf numFmtId="0" fontId="15" fillId="0" borderId="7" xfId="7" applyFont="1" applyFill="1" applyBorder="1" applyAlignment="1">
      <alignment horizontal="left" vertical="top" wrapText="1"/>
    </xf>
    <xf numFmtId="0" fontId="36" fillId="0" borderId="7" xfId="0" applyFont="1" applyFill="1" applyBorder="1"/>
    <xf numFmtId="0" fontId="68" fillId="3" borderId="7" xfId="8" applyFont="1" applyFill="1" applyBorder="1" applyAlignment="1"/>
    <xf numFmtId="0" fontId="23" fillId="0" borderId="7" xfId="10" applyFont="1" applyFill="1" applyBorder="1" applyAlignment="1">
      <alignment vertical="top"/>
    </xf>
    <xf numFmtId="0" fontId="36" fillId="0" borderId="7" xfId="10" applyFont="1" applyFill="1" applyBorder="1" applyAlignment="1">
      <alignment vertical="top" wrapText="1"/>
    </xf>
    <xf numFmtId="0" fontId="15" fillId="0" borderId="2" xfId="8" applyFont="1" applyFill="1" applyBorder="1" applyAlignment="1">
      <alignment wrapText="1"/>
    </xf>
    <xf numFmtId="189" fontId="5" fillId="4" borderId="7" xfId="5" applyNumberFormat="1" applyFont="1" applyFill="1" applyBorder="1"/>
    <xf numFmtId="187" fontId="46" fillId="4" borderId="7" xfId="8" applyNumberFormat="1" applyFont="1" applyFill="1" applyBorder="1" applyAlignment="1">
      <alignment horizontal="left" vertical="top" wrapText="1"/>
    </xf>
    <xf numFmtId="0" fontId="46" fillId="0" borderId="6" xfId="8" applyFont="1" applyFill="1" applyBorder="1"/>
    <xf numFmtId="0" fontId="46" fillId="0" borderId="17" xfId="8" applyFont="1" applyFill="1" applyBorder="1"/>
    <xf numFmtId="193" fontId="4" fillId="0" borderId="6" xfId="5" applyNumberFormat="1" applyFont="1" applyFill="1" applyBorder="1"/>
    <xf numFmtId="197" fontId="4" fillId="0" borderId="6" xfId="0" applyNumberFormat="1" applyFont="1" applyFill="1" applyBorder="1"/>
    <xf numFmtId="0" fontId="4" fillId="0" borderId="1" xfId="8" applyFont="1" applyFill="1" applyBorder="1" applyAlignment="1">
      <alignment wrapText="1"/>
    </xf>
    <xf numFmtId="0" fontId="4" fillId="0" borderId="1" xfId="0" applyFont="1" applyFill="1" applyBorder="1"/>
    <xf numFmtId="0" fontId="5" fillId="0" borderId="6" xfId="10" applyFont="1" applyFill="1" applyBorder="1" applyAlignment="1">
      <alignment horizontal="left" vertical="top"/>
    </xf>
    <xf numFmtId="193" fontId="6" fillId="0" borderId="6" xfId="5" applyNumberFormat="1" applyFont="1" applyFill="1" applyBorder="1"/>
    <xf numFmtId="0" fontId="26" fillId="0" borderId="6" xfId="0" applyFont="1" applyFill="1" applyBorder="1"/>
    <xf numFmtId="0" fontId="4" fillId="0" borderId="1" xfId="8" applyFont="1" applyFill="1" applyBorder="1"/>
    <xf numFmtId="0" fontId="49" fillId="0" borderId="15" xfId="8" applyFont="1" applyFill="1" applyBorder="1" applyAlignment="1">
      <alignment wrapText="1"/>
    </xf>
    <xf numFmtId="0" fontId="82" fillId="0" borderId="7" xfId="0" applyFont="1" applyFill="1" applyBorder="1"/>
    <xf numFmtId="0" fontId="73" fillId="0" borderId="7" xfId="0" applyFont="1" applyFill="1" applyBorder="1"/>
    <xf numFmtId="0" fontId="73" fillId="0" borderId="7" xfId="8" applyFont="1" applyFill="1" applyBorder="1" applyAlignment="1">
      <alignment wrapText="1"/>
    </xf>
    <xf numFmtId="0" fontId="4" fillId="0" borderId="17" xfId="8" applyFont="1" applyFill="1" applyBorder="1"/>
    <xf numFmtId="49" fontId="4" fillId="0" borderId="7" xfId="0" applyNumberFormat="1" applyFont="1" applyFill="1" applyBorder="1" applyAlignment="1">
      <alignment wrapText="1"/>
    </xf>
    <xf numFmtId="0" fontId="4" fillId="0" borderId="15" xfId="8" applyFont="1" applyFill="1" applyBorder="1"/>
    <xf numFmtId="0" fontId="4" fillId="0" borderId="2" xfId="8" applyFont="1" applyFill="1" applyBorder="1" applyAlignment="1">
      <alignment wrapText="1"/>
    </xf>
    <xf numFmtId="0" fontId="4" fillId="0" borderId="15" xfId="8" applyFont="1" applyFill="1" applyBorder="1" applyAlignment="1">
      <alignment wrapText="1"/>
    </xf>
    <xf numFmtId="0" fontId="4" fillId="0" borderId="4" xfId="0" quotePrefix="1" applyFont="1" applyFill="1" applyBorder="1" applyAlignment="1"/>
    <xf numFmtId="0" fontId="4" fillId="4" borderId="4" xfId="0" quotePrefix="1" applyFont="1" applyFill="1" applyBorder="1" applyAlignment="1"/>
    <xf numFmtId="0" fontId="4" fillId="0" borderId="0" xfId="8" applyFont="1" applyBorder="1" applyAlignment="1">
      <alignment horizontal="left" indent="2"/>
    </xf>
    <xf numFmtId="193" fontId="46" fillId="0" borderId="0" xfId="5" applyNumberFormat="1" applyFont="1" applyFill="1" applyBorder="1" applyAlignment="1">
      <alignment horizontal="center" vertical="top"/>
    </xf>
    <xf numFmtId="0" fontId="4" fillId="9" borderId="0" xfId="8" applyFont="1" applyFill="1" applyBorder="1"/>
    <xf numFmtId="3" fontId="6" fillId="9" borderId="7" xfId="8" applyNumberFormat="1" applyFont="1" applyFill="1" applyBorder="1" applyAlignment="1"/>
    <xf numFmtId="0" fontId="6" fillId="0" borderId="7" xfId="8" applyFont="1" applyBorder="1" applyAlignment="1"/>
    <xf numFmtId="0" fontId="6" fillId="0" borderId="7" xfId="8" applyFont="1" applyBorder="1" applyAlignment="1">
      <alignment vertical="center"/>
    </xf>
    <xf numFmtId="0" fontId="0" fillId="0" borderId="7" xfId="0" applyFont="1" applyBorder="1"/>
    <xf numFmtId="0" fontId="59" fillId="0" borderId="6" xfId="8" applyFont="1" applyFill="1" applyBorder="1" applyAlignment="1"/>
    <xf numFmtId="0" fontId="59" fillId="0" borderId="17" xfId="8" applyFont="1" applyFill="1" applyBorder="1" applyAlignment="1"/>
    <xf numFmtId="0" fontId="59" fillId="0" borderId="6" xfId="8" applyFont="1" applyFill="1" applyBorder="1"/>
    <xf numFmtId="3" fontId="11" fillId="9" borderId="11" xfId="0" applyNumberFormat="1" applyFont="1" applyFill="1" applyBorder="1" applyAlignment="1">
      <alignment horizontal="center" wrapText="1"/>
    </xf>
    <xf numFmtId="0" fontId="13" fillId="0" borderId="7" xfId="8" applyFont="1" applyBorder="1" applyAlignment="1">
      <alignment vertical="top" wrapText="1"/>
    </xf>
    <xf numFmtId="0" fontId="45" fillId="0" borderId="9" xfId="0" applyFont="1" applyFill="1" applyBorder="1" applyAlignment="1">
      <alignment horizontal="center" vertical="center" wrapText="1"/>
    </xf>
    <xf numFmtId="189" fontId="4" fillId="3" borderId="7" xfId="5" applyNumberFormat="1" applyFont="1" applyFill="1" applyBorder="1" applyAlignment="1">
      <alignment horizontal="center" vertical="top"/>
    </xf>
    <xf numFmtId="189" fontId="4" fillId="3" borderId="7" xfId="5" applyNumberFormat="1" applyFont="1" applyFill="1" applyBorder="1" applyAlignment="1">
      <alignment horizontal="center"/>
    </xf>
    <xf numFmtId="189" fontId="4" fillId="3" borderId="7" xfId="5" applyNumberFormat="1" applyFont="1" applyFill="1" applyBorder="1"/>
    <xf numFmtId="189" fontId="4" fillId="0" borderId="7" xfId="5" applyNumberFormat="1" applyFont="1" applyFill="1" applyBorder="1" applyAlignment="1">
      <alignment horizontal="left"/>
    </xf>
    <xf numFmtId="189" fontId="4" fillId="4" borderId="7" xfId="5" applyNumberFormat="1" applyFont="1" applyFill="1" applyBorder="1" applyAlignment="1"/>
    <xf numFmtId="0" fontId="26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189" fontId="49" fillId="4" borderId="7" xfId="5" applyNumberFormat="1" applyFont="1" applyFill="1" applyBorder="1"/>
    <xf numFmtId="0" fontId="46" fillId="15" borderId="7" xfId="0" applyFont="1" applyFill="1" applyBorder="1"/>
    <xf numFmtId="190" fontId="45" fillId="8" borderId="2" xfId="5" applyNumberFormat="1" applyFont="1" applyFill="1" applyBorder="1"/>
    <xf numFmtId="190" fontId="46" fillId="9" borderId="9" xfId="5" applyNumberFormat="1" applyFont="1" applyFill="1" applyBorder="1"/>
    <xf numFmtId="190" fontId="46" fillId="9" borderId="7" xfId="5" applyNumberFormat="1" applyFont="1" applyFill="1" applyBorder="1"/>
    <xf numFmtId="190" fontId="45" fillId="8" borderId="7" xfId="5" applyNumberFormat="1" applyFont="1" applyFill="1" applyBorder="1"/>
    <xf numFmtId="190" fontId="46" fillId="9" borderId="6" xfId="5" applyNumberFormat="1" applyFont="1" applyFill="1" applyBorder="1"/>
    <xf numFmtId="49" fontId="45" fillId="10" borderId="7" xfId="0" applyNumberFormat="1" applyFont="1" applyFill="1" applyBorder="1" applyAlignment="1">
      <alignment horizontal="left" wrapText="1" indent="2"/>
    </xf>
    <xf numFmtId="0" fontId="46" fillId="10" borderId="7" xfId="0" applyFont="1" applyFill="1" applyBorder="1"/>
    <xf numFmtId="0" fontId="46" fillId="10" borderId="7" xfId="0" applyFont="1" applyFill="1" applyBorder="1" applyAlignment="1">
      <alignment horizontal="center"/>
    </xf>
    <xf numFmtId="0" fontId="45" fillId="10" borderId="9" xfId="0" applyFont="1" applyFill="1" applyBorder="1" applyAlignment="1">
      <alignment vertical="top"/>
    </xf>
    <xf numFmtId="49" fontId="45" fillId="10" borderId="7" xfId="0" applyNumberFormat="1" applyFont="1" applyFill="1" applyBorder="1" applyAlignment="1">
      <alignment horizontal="left" indent="2"/>
    </xf>
    <xf numFmtId="0" fontId="50" fillId="15" borderId="17" xfId="0" applyFont="1" applyFill="1" applyBorder="1"/>
    <xf numFmtId="0" fontId="46" fillId="15" borderId="7" xfId="0" applyFont="1" applyFill="1" applyBorder="1" applyAlignment="1">
      <alignment horizontal="center"/>
    </xf>
    <xf numFmtId="3" fontId="46" fillId="15" borderId="7" xfId="0" applyNumberFormat="1" applyFont="1" applyFill="1" applyBorder="1"/>
    <xf numFmtId="189" fontId="46" fillId="0" borderId="7" xfId="5" applyNumberFormat="1" applyFont="1" applyFill="1" applyBorder="1" applyAlignment="1">
      <alignment horizontal="center"/>
    </xf>
    <xf numFmtId="189" fontId="49" fillId="4" borderId="7" xfId="5" applyNumberFormat="1" applyFont="1" applyFill="1" applyBorder="1" applyAlignment="1">
      <alignment horizontal="center"/>
    </xf>
    <xf numFmtId="189" fontId="46" fillId="0" borderId="6" xfId="5" applyNumberFormat="1" applyFont="1" applyFill="1" applyBorder="1" applyAlignment="1">
      <alignment horizontal="center"/>
    </xf>
    <xf numFmtId="189" fontId="46" fillId="4" borderId="7" xfId="5" applyNumberFormat="1" applyFont="1" applyFill="1" applyBorder="1" applyAlignment="1">
      <alignment horizontal="center"/>
    </xf>
    <xf numFmtId="189" fontId="46" fillId="4" borderId="7" xfId="5" applyNumberFormat="1" applyFont="1" applyFill="1" applyBorder="1"/>
    <xf numFmtId="189" fontId="46" fillId="10" borderId="7" xfId="5" applyNumberFormat="1" applyFont="1" applyFill="1" applyBorder="1" applyAlignment="1">
      <alignment horizontal="left"/>
    </xf>
    <xf numFmtId="189" fontId="46" fillId="10" borderId="7" xfId="5" applyNumberFormat="1" applyFont="1" applyFill="1" applyBorder="1"/>
    <xf numFmtId="189" fontId="46" fillId="15" borderId="7" xfId="0" applyNumberFormat="1" applyFont="1" applyFill="1" applyBorder="1"/>
    <xf numFmtId="189" fontId="46" fillId="15" borderId="7" xfId="5" applyNumberFormat="1" applyFont="1" applyFill="1" applyBorder="1"/>
    <xf numFmtId="189" fontId="46" fillId="0" borderId="7" xfId="0" applyNumberFormat="1" applyFont="1" applyFill="1" applyBorder="1"/>
    <xf numFmtId="189" fontId="5" fillId="15" borderId="7" xfId="0" applyNumberFormat="1" applyFont="1" applyFill="1" applyBorder="1"/>
    <xf numFmtId="189" fontId="5" fillId="15" borderId="7" xfId="5" applyNumberFormat="1" applyFont="1" applyFill="1" applyBorder="1"/>
    <xf numFmtId="0" fontId="46" fillId="0" borderId="6" xfId="0" applyFont="1" applyFill="1" applyBorder="1" applyAlignment="1">
      <alignment vertical="top" wrapText="1"/>
    </xf>
    <xf numFmtId="0" fontId="46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vertical="top"/>
    </xf>
    <xf numFmtId="49" fontId="5" fillId="10" borderId="7" xfId="0" applyNumberFormat="1" applyFont="1" applyFill="1" applyBorder="1" applyAlignment="1">
      <alignment horizontal="left" indent="2"/>
    </xf>
    <xf numFmtId="0" fontId="15" fillId="10" borderId="7" xfId="0" applyFont="1" applyFill="1" applyBorder="1"/>
    <xf numFmtId="0" fontId="15" fillId="10" borderId="7" xfId="0" applyFont="1" applyFill="1" applyBorder="1" applyAlignment="1">
      <alignment horizontal="center"/>
    </xf>
    <xf numFmtId="3" fontId="15" fillId="10" borderId="7" xfId="0" applyNumberFormat="1" applyFont="1" applyFill="1" applyBorder="1"/>
    <xf numFmtId="189" fontId="32" fillId="10" borderId="3" xfId="5" applyNumberFormat="1" applyFont="1" applyFill="1" applyBorder="1"/>
    <xf numFmtId="0" fontId="1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left" wrapText="1"/>
    </xf>
    <xf numFmtId="189" fontId="13" fillId="10" borderId="7" xfId="5" applyNumberFormat="1" applyFont="1" applyFill="1" applyBorder="1"/>
    <xf numFmtId="189" fontId="32" fillId="10" borderId="7" xfId="5" applyNumberFormat="1" applyFont="1" applyFill="1" applyBorder="1"/>
    <xf numFmtId="49" fontId="5" fillId="10" borderId="7" xfId="0" applyNumberFormat="1" applyFont="1" applyFill="1" applyBorder="1" applyAlignment="1">
      <alignment horizontal="left" wrapText="1" indent="2"/>
    </xf>
    <xf numFmtId="3" fontId="15" fillId="10" borderId="7" xfId="0" applyNumberFormat="1" applyFont="1" applyFill="1" applyBorder="1" applyAlignment="1">
      <alignment horizontal="left"/>
    </xf>
    <xf numFmtId="0" fontId="5" fillId="10" borderId="0" xfId="0" applyFont="1" applyFill="1" applyBorder="1" applyAlignment="1">
      <alignment wrapText="1"/>
    </xf>
    <xf numFmtId="49" fontId="5" fillId="10" borderId="4" xfId="0" applyNumberFormat="1" applyFont="1" applyFill="1" applyBorder="1" applyAlignment="1">
      <alignment horizontal="left" indent="2"/>
    </xf>
    <xf numFmtId="189" fontId="4" fillId="0" borderId="6" xfId="5" applyNumberFormat="1" applyFont="1" applyFill="1" applyBorder="1" applyAlignment="1">
      <alignment horizontal="center"/>
    </xf>
    <xf numFmtId="189" fontId="34" fillId="3" borderId="7" xfId="5" applyNumberFormat="1" applyFont="1" applyFill="1" applyBorder="1"/>
    <xf numFmtId="189" fontId="4" fillId="8" borderId="7" xfId="5" applyNumberFormat="1" applyFont="1" applyFill="1" applyBorder="1" applyAlignment="1">
      <alignment horizontal="center"/>
    </xf>
    <xf numFmtId="190" fontId="6" fillId="8" borderId="7" xfId="5" applyNumberFormat="1" applyFont="1" applyFill="1" applyBorder="1"/>
    <xf numFmtId="190" fontId="4" fillId="9" borderId="7" xfId="5" applyNumberFormat="1" applyFont="1" applyFill="1" applyBorder="1"/>
    <xf numFmtId="189" fontId="46" fillId="0" borderId="7" xfId="5" applyNumberFormat="1" applyFont="1" applyFill="1" applyBorder="1" applyAlignment="1">
      <alignment vertical="top"/>
    </xf>
    <xf numFmtId="0" fontId="15" fillId="0" borderId="7" xfId="7" applyFont="1" applyFill="1" applyBorder="1" applyAlignment="1">
      <alignment horizontal="left" vertical="top"/>
    </xf>
    <xf numFmtId="193" fontId="15" fillId="10" borderId="7" xfId="9" applyNumberFormat="1" applyFont="1" applyFill="1" applyBorder="1" applyAlignment="1">
      <alignment wrapText="1"/>
    </xf>
    <xf numFmtId="0" fontId="15" fillId="10" borderId="7" xfId="8" applyFont="1" applyFill="1" applyBorder="1" applyAlignment="1">
      <alignment horizontal="center" wrapText="1"/>
    </xf>
    <xf numFmtId="0" fontId="15" fillId="10" borderId="7" xfId="8" applyFont="1" applyFill="1" applyBorder="1" applyAlignment="1">
      <alignment wrapText="1"/>
    </xf>
    <xf numFmtId="0" fontId="15" fillId="8" borderId="7" xfId="8" applyFont="1" applyFill="1" applyBorder="1" applyAlignment="1">
      <alignment wrapText="1"/>
    </xf>
    <xf numFmtId="0" fontId="15" fillId="8" borderId="7" xfId="8" applyFont="1" applyFill="1" applyBorder="1" applyAlignment="1">
      <alignment horizontal="center" wrapText="1"/>
    </xf>
    <xf numFmtId="193" fontId="15" fillId="8" borderId="7" xfId="9" applyNumberFormat="1" applyFont="1" applyFill="1" applyBorder="1" applyAlignment="1">
      <alignment wrapText="1"/>
    </xf>
    <xf numFmtId="189" fontId="5" fillId="4" borderId="7" xfId="5" applyNumberFormat="1" applyFont="1" applyFill="1" applyBorder="1" applyAlignment="1">
      <alignment vertical="center"/>
    </xf>
    <xf numFmtId="192" fontId="15" fillId="4" borderId="7" xfId="9" applyNumberFormat="1" applyFont="1" applyFill="1" applyBorder="1" applyAlignment="1">
      <alignment horizontal="right" vertical="center" wrapText="1"/>
    </xf>
    <xf numFmtId="0" fontId="68" fillId="8" borderId="7" xfId="8" applyFont="1" applyFill="1" applyBorder="1" applyAlignment="1">
      <alignment wrapText="1"/>
    </xf>
    <xf numFmtId="189" fontId="5" fillId="0" borderId="7" xfId="5" applyNumberFormat="1" applyFont="1" applyFill="1" applyBorder="1" applyAlignment="1">
      <alignment horizontal="left" vertical="top"/>
    </xf>
    <xf numFmtId="189" fontId="4" fillId="2" borderId="6" xfId="5" applyNumberFormat="1" applyFont="1" applyFill="1" applyBorder="1"/>
    <xf numFmtId="189" fontId="4" fillId="2" borderId="7" xfId="5" applyNumberFormat="1" applyFont="1" applyFill="1" applyBorder="1" applyAlignment="1">
      <alignment horizontal="center"/>
    </xf>
    <xf numFmtId="189" fontId="5" fillId="0" borderId="7" xfId="5" applyNumberFormat="1" applyFont="1" applyFill="1" applyBorder="1" applyAlignment="1">
      <alignment horizontal="center" vertical="top"/>
    </xf>
    <xf numFmtId="189" fontId="4" fillId="2" borderId="6" xfId="5" applyNumberFormat="1" applyFont="1" applyFill="1" applyBorder="1" applyAlignment="1">
      <alignment horizontal="center"/>
    </xf>
    <xf numFmtId="189" fontId="4" fillId="0" borderId="0" xfId="5" applyNumberFormat="1" applyFont="1" applyFill="1" applyBorder="1"/>
    <xf numFmtId="189" fontId="6" fillId="8" borderId="11" xfId="5" applyNumberFormat="1" applyFont="1" applyFill="1" applyBorder="1" applyAlignment="1">
      <alignment wrapText="1"/>
    </xf>
    <xf numFmtId="0" fontId="4" fillId="8" borderId="7" xfId="8" applyFont="1" applyFill="1" applyBorder="1" applyAlignment="1">
      <alignment wrapText="1"/>
    </xf>
    <xf numFmtId="193" fontId="4" fillId="8" borderId="7" xfId="9" applyNumberFormat="1" applyFont="1" applyFill="1" applyBorder="1" applyAlignment="1">
      <alignment wrapText="1"/>
    </xf>
    <xf numFmtId="189" fontId="4" fillId="0" borderId="0" xfId="8" applyNumberFormat="1" applyFont="1" applyFill="1" applyBorder="1" applyAlignment="1">
      <alignment wrapText="1"/>
    </xf>
    <xf numFmtId="189" fontId="6" fillId="0" borderId="7" xfId="8" applyNumberFormat="1" applyFont="1" applyFill="1" applyBorder="1"/>
    <xf numFmtId="189" fontId="5" fillId="10" borderId="7" xfId="5" applyNumberFormat="1" applyFont="1" applyFill="1" applyBorder="1" applyAlignment="1">
      <alignment wrapText="1"/>
    </xf>
    <xf numFmtId="189" fontId="15" fillId="10" borderId="7" xfId="8" applyNumberFormat="1" applyFont="1" applyFill="1" applyBorder="1" applyAlignment="1">
      <alignment wrapText="1"/>
    </xf>
    <xf numFmtId="189" fontId="6" fillId="8" borderId="7" xfId="5" applyNumberFormat="1" applyFont="1" applyFill="1" applyBorder="1" applyAlignment="1">
      <alignment horizontal="right" vertical="top"/>
    </xf>
    <xf numFmtId="189" fontId="6" fillId="0" borderId="0" xfId="0" applyNumberFormat="1" applyFont="1" applyFill="1" applyBorder="1"/>
    <xf numFmtId="0" fontId="25" fillId="0" borderId="0" xfId="8" applyFont="1"/>
    <xf numFmtId="0" fontId="104" fillId="0" borderId="0" xfId="0" applyFont="1"/>
    <xf numFmtId="190" fontId="74" fillId="9" borderId="9" xfId="5" applyNumberFormat="1" applyFont="1" applyFill="1" applyBorder="1"/>
    <xf numFmtId="189" fontId="74" fillId="9" borderId="7" xfId="5" applyNumberFormat="1" applyFont="1" applyFill="1" applyBorder="1"/>
    <xf numFmtId="189" fontId="74" fillId="8" borderId="7" xfId="5" applyNumberFormat="1" applyFont="1" applyFill="1" applyBorder="1" applyAlignment="1">
      <alignment wrapText="1"/>
    </xf>
    <xf numFmtId="189" fontId="77" fillId="8" borderId="7" xfId="8" applyNumberFormat="1" applyFont="1" applyFill="1" applyBorder="1" applyAlignment="1">
      <alignment wrapText="1"/>
    </xf>
    <xf numFmtId="189" fontId="6" fillId="9" borderId="7" xfId="5" applyNumberFormat="1" applyFont="1" applyFill="1" applyBorder="1" applyAlignment="1"/>
    <xf numFmtId="3" fontId="6" fillId="0" borderId="11" xfId="8" applyNumberFormat="1" applyFont="1" applyBorder="1"/>
    <xf numFmtId="0" fontId="4" fillId="0" borderId="6" xfId="8" applyFont="1" applyBorder="1" applyAlignment="1">
      <alignment vertical="top" wrapText="1"/>
    </xf>
    <xf numFmtId="0" fontId="59" fillId="15" borderId="7" xfId="11" applyFont="1" applyFill="1" applyBorder="1"/>
    <xf numFmtId="189" fontId="59" fillId="9" borderId="7" xfId="5" applyNumberFormat="1" applyFont="1" applyFill="1" applyBorder="1"/>
    <xf numFmtId="189" fontId="59" fillId="0" borderId="7" xfId="5" applyNumberFormat="1" applyFont="1" applyBorder="1"/>
    <xf numFmtId="0" fontId="4" fillId="0" borderId="7" xfId="11" applyFont="1" applyBorder="1"/>
    <xf numFmtId="3" fontId="6" fillId="0" borderId="7" xfId="11" applyNumberFormat="1" applyFont="1" applyBorder="1" applyAlignment="1">
      <alignment vertical="center"/>
    </xf>
    <xf numFmtId="189" fontId="4" fillId="0" borderId="7" xfId="5" applyNumberFormat="1" applyFont="1" applyBorder="1"/>
    <xf numFmtId="3" fontId="4" fillId="0" borderId="7" xfId="11" applyNumberFormat="1" applyFont="1" applyBorder="1" applyAlignment="1">
      <alignment vertical="center"/>
    </xf>
    <xf numFmtId="0" fontId="4" fillId="0" borderId="0" xfId="11" applyFont="1" applyBorder="1"/>
    <xf numFmtId="0" fontId="15" fillId="0" borderId="0" xfId="11" applyFont="1" applyBorder="1"/>
    <xf numFmtId="189" fontId="6" fillId="0" borderId="11" xfId="5" applyNumberFormat="1" applyFont="1" applyBorder="1"/>
    <xf numFmtId="0" fontId="6" fillId="0" borderId="6" xfId="11" applyFont="1" applyBorder="1"/>
    <xf numFmtId="0" fontId="6" fillId="0" borderId="7" xfId="11" applyFont="1" applyBorder="1"/>
    <xf numFmtId="3" fontId="6" fillId="0" borderId="7" xfId="11" applyNumberFormat="1" applyFont="1" applyFill="1" applyBorder="1"/>
    <xf numFmtId="3" fontId="4" fillId="9" borderId="7" xfId="11" applyNumberFormat="1" applyFont="1" applyFill="1" applyBorder="1" applyAlignment="1">
      <alignment vertical="center"/>
    </xf>
    <xf numFmtId="3" fontId="6" fillId="9" borderId="0" xfId="11" applyNumberFormat="1" applyFont="1" applyFill="1" applyBorder="1" applyAlignment="1">
      <alignment vertical="center"/>
    </xf>
    <xf numFmtId="3" fontId="4" fillId="0" borderId="0" xfId="11" applyNumberFormat="1" applyFont="1" applyBorder="1" applyAlignment="1">
      <alignment vertical="center"/>
    </xf>
    <xf numFmtId="3" fontId="11" fillId="15" borderId="7" xfId="8" applyNumberFormat="1" applyFont="1" applyFill="1" applyBorder="1" applyAlignment="1"/>
    <xf numFmtId="0" fontId="36" fillId="0" borderId="4" xfId="0" applyFont="1" applyFill="1" applyBorder="1" applyAlignment="1"/>
    <xf numFmtId="0" fontId="3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23" fillId="0" borderId="4" xfId="0" applyFont="1" applyFill="1" applyBorder="1" applyAlignment="1"/>
    <xf numFmtId="0" fontId="71" fillId="2" borderId="7" xfId="0" applyFont="1" applyFill="1" applyBorder="1" applyAlignment="1">
      <alignment horizontal="center"/>
    </xf>
    <xf numFmtId="3" fontId="71" fillId="0" borderId="7" xfId="0" applyNumberFormat="1" applyFont="1" applyFill="1" applyBorder="1" applyAlignment="1">
      <alignment horizontal="center"/>
    </xf>
    <xf numFmtId="3" fontId="71" fillId="9" borderId="7" xfId="0" applyNumberFormat="1" applyFont="1" applyFill="1" applyBorder="1" applyAlignment="1">
      <alignment horizontal="center"/>
    </xf>
    <xf numFmtId="0" fontId="96" fillId="0" borderId="0" xfId="0" applyFont="1" applyFill="1" applyBorder="1" applyAlignment="1"/>
    <xf numFmtId="0" fontId="12" fillId="0" borderId="0" xfId="0" applyFont="1" applyFill="1" applyBorder="1" applyAlignment="1"/>
    <xf numFmtId="0" fontId="88" fillId="0" borderId="0" xfId="0" applyFont="1" applyFill="1" applyBorder="1" applyAlignment="1"/>
    <xf numFmtId="0" fontId="5" fillId="4" borderId="4" xfId="0" applyFont="1" applyFill="1" applyBorder="1" applyAlignment="1"/>
    <xf numFmtId="189" fontId="71" fillId="0" borderId="7" xfId="5" applyNumberFormat="1" applyFont="1" applyFill="1" applyBorder="1" applyAlignment="1">
      <alignment horizontal="center" wrapText="1"/>
    </xf>
    <xf numFmtId="189" fontId="71" fillId="0" borderId="7" xfId="5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left" vertical="top" wrapText="1"/>
    </xf>
    <xf numFmtId="0" fontId="3" fillId="0" borderId="0" xfId="6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8" fontId="6" fillId="0" borderId="2" xfId="0" applyNumberFormat="1" applyFont="1" applyFill="1" applyBorder="1" applyAlignment="1">
      <alignment horizontal="center" vertical="center" wrapText="1"/>
    </xf>
    <xf numFmtId="188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3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0" borderId="13" xfId="6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189" fontId="6" fillId="0" borderId="15" xfId="5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189" fontId="6" fillId="0" borderId="9" xfId="5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6" applyFont="1" applyFill="1" applyBorder="1" applyAlignment="1">
      <alignment horizontal="center" vertical="center" wrapText="1"/>
    </xf>
    <xf numFmtId="0" fontId="45" fillId="0" borderId="13" xfId="6" applyFont="1" applyFill="1" applyBorder="1" applyAlignment="1">
      <alignment horizontal="center" vertical="center"/>
    </xf>
    <xf numFmtId="0" fontId="45" fillId="0" borderId="14" xfId="6" applyFont="1" applyFill="1" applyBorder="1" applyAlignment="1">
      <alignment horizontal="center" vertical="center"/>
    </xf>
    <xf numFmtId="0" fontId="45" fillId="0" borderId="15" xfId="6" applyFont="1" applyFill="1" applyBorder="1" applyAlignment="1">
      <alignment horizontal="center" vertical="center"/>
    </xf>
    <xf numFmtId="0" fontId="45" fillId="0" borderId="16" xfId="6" applyFont="1" applyFill="1" applyBorder="1" applyAlignment="1">
      <alignment horizontal="center" vertical="center"/>
    </xf>
    <xf numFmtId="0" fontId="45" fillId="0" borderId="17" xfId="6" applyFont="1" applyFill="1" applyBorder="1" applyAlignment="1">
      <alignment horizontal="center" vertical="center"/>
    </xf>
    <xf numFmtId="49" fontId="45" fillId="0" borderId="2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/>
    </xf>
    <xf numFmtId="189" fontId="45" fillId="0" borderId="15" xfId="5" applyNumberFormat="1" applyFont="1" applyFill="1" applyBorder="1" applyAlignment="1">
      <alignment horizontal="center" vertical="center" wrapText="1"/>
    </xf>
    <xf numFmtId="0" fontId="103" fillId="0" borderId="2" xfId="0" applyFont="1" applyFill="1" applyBorder="1" applyAlignment="1">
      <alignment horizontal="center" vertical="top" wrapText="1"/>
    </xf>
    <xf numFmtId="0" fontId="103" fillId="0" borderId="9" xfId="0" applyFont="1" applyFill="1" applyBorder="1" applyAlignment="1">
      <alignment horizontal="center" vertical="top" wrapText="1"/>
    </xf>
    <xf numFmtId="0" fontId="103" fillId="0" borderId="6" xfId="0" applyFont="1" applyFill="1" applyBorder="1" applyAlignment="1">
      <alignment horizontal="center" vertical="top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189" fontId="5" fillId="0" borderId="15" xfId="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left" vertical="top" wrapText="1"/>
    </xf>
    <xf numFmtId="0" fontId="101" fillId="0" borderId="2" xfId="8" applyFont="1" applyFill="1" applyBorder="1" applyAlignment="1">
      <alignment horizontal="left" vertical="top" wrapText="1"/>
    </xf>
    <xf numFmtId="0" fontId="101" fillId="0" borderId="9" xfId="8" applyFont="1" applyFill="1" applyBorder="1" applyAlignment="1">
      <alignment horizontal="left" vertical="top" wrapText="1"/>
    </xf>
    <xf numFmtId="0" fontId="101" fillId="0" borderId="6" xfId="8" applyFont="1" applyFill="1" applyBorder="1" applyAlignment="1">
      <alignment horizontal="left" vertical="top" wrapText="1"/>
    </xf>
    <xf numFmtId="0" fontId="49" fillId="0" borderId="7" xfId="1" quotePrefix="1" applyFont="1" applyFill="1" applyBorder="1" applyAlignment="1">
      <alignment horizontal="left" vertical="center" wrapText="1"/>
    </xf>
    <xf numFmtId="0" fontId="49" fillId="0" borderId="7" xfId="7" applyFont="1" applyFill="1" applyBorder="1" applyAlignment="1">
      <alignment horizontal="left" vertical="top"/>
    </xf>
    <xf numFmtId="0" fontId="49" fillId="0" borderId="7" xfId="1" quotePrefix="1" applyFont="1" applyFill="1" applyBorder="1" applyAlignment="1">
      <alignment horizontal="left" vertical="center"/>
    </xf>
    <xf numFmtId="0" fontId="50" fillId="0" borderId="3" xfId="0" applyFont="1" applyFill="1" applyBorder="1" applyAlignment="1">
      <alignment horizontal="left" vertical="center" wrapText="1"/>
    </xf>
    <xf numFmtId="0" fontId="50" fillId="0" borderId="5" xfId="0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31" fillId="0" borderId="9" xfId="8" applyFont="1" applyFill="1" applyBorder="1" applyAlignment="1">
      <alignment horizontal="center" vertical="center" wrapText="1"/>
    </xf>
    <xf numFmtId="0" fontId="50" fillId="0" borderId="7" xfId="8" applyFont="1" applyFill="1" applyBorder="1" applyAlignment="1">
      <alignment horizontal="left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49" fillId="0" borderId="7" xfId="7" applyFont="1" applyFill="1" applyBorder="1" applyAlignment="1">
      <alignment vertical="top" wrapText="1"/>
    </xf>
    <xf numFmtId="0" fontId="49" fillId="0" borderId="7" xfId="7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center" vertical="center" wrapText="1"/>
    </xf>
    <xf numFmtId="0" fontId="50" fillId="4" borderId="7" xfId="8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vertical="center"/>
    </xf>
    <xf numFmtId="0" fontId="36" fillId="0" borderId="2" xfId="8" applyFont="1" applyFill="1" applyBorder="1" applyAlignment="1">
      <alignment horizontal="left" wrapText="1"/>
    </xf>
    <xf numFmtId="0" fontId="36" fillId="0" borderId="9" xfId="8" applyFont="1" applyFill="1" applyBorder="1" applyAlignment="1">
      <alignment horizontal="left" wrapText="1"/>
    </xf>
    <xf numFmtId="0" fontId="36" fillId="0" borderId="6" xfId="8" applyFont="1" applyFill="1" applyBorder="1" applyAlignment="1">
      <alignment horizontal="left" wrapText="1"/>
    </xf>
    <xf numFmtId="0" fontId="49" fillId="0" borderId="2" xfId="8" applyFont="1" applyFill="1" applyBorder="1" applyAlignment="1">
      <alignment horizontal="left" vertical="top" wrapText="1"/>
    </xf>
    <xf numFmtId="0" fontId="49" fillId="0" borderId="9" xfId="8" applyFont="1" applyFill="1" applyBorder="1" applyAlignment="1">
      <alignment horizontal="left" vertical="top" wrapText="1"/>
    </xf>
    <xf numFmtId="0" fontId="49" fillId="0" borderId="6" xfId="8" applyFont="1" applyFill="1" applyBorder="1" applyAlignment="1">
      <alignment horizontal="left" vertical="top" wrapText="1"/>
    </xf>
    <xf numFmtId="0" fontId="35" fillId="0" borderId="0" xfId="6" applyFont="1" applyFill="1" applyBorder="1" applyAlignment="1">
      <alignment horizontal="center"/>
    </xf>
    <xf numFmtId="0" fontId="31" fillId="0" borderId="7" xfId="6" applyFont="1" applyFill="1" applyBorder="1" applyAlignment="1">
      <alignment horizontal="center" vertical="center" wrapText="1"/>
    </xf>
    <xf numFmtId="0" fontId="31" fillId="0" borderId="2" xfId="8" applyFont="1" applyFill="1" applyBorder="1" applyAlignment="1">
      <alignment horizontal="center" vertical="center" wrapText="1"/>
    </xf>
    <xf numFmtId="0" fontId="31" fillId="0" borderId="10" xfId="8" applyFont="1" applyFill="1" applyBorder="1" applyAlignment="1">
      <alignment horizontal="center" vertical="center" wrapText="1"/>
    </xf>
    <xf numFmtId="0" fontId="31" fillId="0" borderId="13" xfId="8" applyFont="1" applyFill="1" applyBorder="1" applyAlignment="1">
      <alignment horizontal="center" vertical="center" wrapText="1"/>
    </xf>
    <xf numFmtId="0" fontId="31" fillId="0" borderId="16" xfId="8" applyFont="1" applyFill="1" applyBorder="1" applyAlignment="1">
      <alignment horizontal="center" vertical="center" wrapText="1"/>
    </xf>
    <xf numFmtId="0" fontId="31" fillId="0" borderId="17" xfId="8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center"/>
    </xf>
    <xf numFmtId="0" fontId="31" fillId="0" borderId="6" xfId="8" applyFont="1" applyFill="1" applyBorder="1" applyAlignment="1">
      <alignment horizontal="center" vertical="center" wrapText="1"/>
    </xf>
    <xf numFmtId="189" fontId="31" fillId="0" borderId="9" xfId="5" applyNumberFormat="1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left" vertical="top" wrapText="1"/>
    </xf>
    <xf numFmtId="0" fontId="45" fillId="3" borderId="20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9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46" fillId="0" borderId="2" xfId="8" applyFont="1" applyFill="1" applyBorder="1" applyAlignment="1">
      <alignment horizontal="left" vertical="top" wrapText="1"/>
    </xf>
    <xf numFmtId="0" fontId="46" fillId="0" borderId="9" xfId="8" applyFont="1" applyFill="1" applyBorder="1" applyAlignment="1">
      <alignment horizontal="left" vertical="top" wrapText="1"/>
    </xf>
    <xf numFmtId="0" fontId="46" fillId="0" borderId="6" xfId="8" applyFont="1" applyFill="1" applyBorder="1" applyAlignment="1">
      <alignment horizontal="left" vertical="top" wrapText="1"/>
    </xf>
    <xf numFmtId="0" fontId="6" fillId="0" borderId="3" xfId="8" applyFont="1" applyFill="1" applyBorder="1" applyAlignment="1">
      <alignment horizontal="left" vertical="top" wrapText="1"/>
    </xf>
    <xf numFmtId="0" fontId="6" fillId="0" borderId="5" xfId="8" applyFont="1" applyFill="1" applyBorder="1" applyAlignment="1">
      <alignment horizontal="left" vertical="top" wrapText="1"/>
    </xf>
    <xf numFmtId="0" fontId="6" fillId="0" borderId="4" xfId="8" applyFont="1" applyFill="1" applyBorder="1" applyAlignment="1">
      <alignment horizontal="left" vertical="top" wrapText="1"/>
    </xf>
    <xf numFmtId="0" fontId="45" fillId="3" borderId="3" xfId="0" applyFont="1" applyFill="1" applyBorder="1" applyAlignment="1">
      <alignment horizontal="left" vertical="top"/>
    </xf>
    <xf numFmtId="0" fontId="45" fillId="3" borderId="5" xfId="0" applyFont="1" applyFill="1" applyBorder="1" applyAlignment="1">
      <alignment horizontal="left" vertical="top"/>
    </xf>
    <xf numFmtId="0" fontId="45" fillId="3" borderId="20" xfId="0" applyFont="1" applyFill="1" applyBorder="1" applyAlignment="1">
      <alignment horizontal="left" vertical="top"/>
    </xf>
    <xf numFmtId="0" fontId="45" fillId="3" borderId="0" xfId="0" applyFont="1" applyFill="1" applyBorder="1" applyAlignment="1">
      <alignment horizontal="left" vertical="top" wrapText="1"/>
    </xf>
    <xf numFmtId="0" fontId="45" fillId="3" borderId="3" xfId="0" applyFont="1" applyFill="1" applyBorder="1" applyAlignment="1">
      <alignment horizontal="left" vertical="top" wrapText="1"/>
    </xf>
    <xf numFmtId="0" fontId="45" fillId="3" borderId="5" xfId="0" applyFont="1" applyFill="1" applyBorder="1" applyAlignment="1">
      <alignment horizontal="left" vertical="top" wrapText="1"/>
    </xf>
    <xf numFmtId="0" fontId="45" fillId="3" borderId="4" xfId="0" applyFont="1" applyFill="1" applyBorder="1" applyAlignment="1">
      <alignment horizontal="left" vertical="top" wrapText="1"/>
    </xf>
    <xf numFmtId="189" fontId="60" fillId="0" borderId="7" xfId="5" applyNumberFormat="1" applyFont="1" applyFill="1" applyBorder="1" applyAlignment="1">
      <alignment horizontal="center" vertical="top" wrapText="1"/>
    </xf>
    <xf numFmtId="0" fontId="3" fillId="0" borderId="0" xfId="6" applyFont="1" applyFill="1" applyBorder="1" applyAlignment="1">
      <alignment horizontal="center" vertical="top"/>
    </xf>
    <xf numFmtId="0" fontId="6" fillId="0" borderId="10" xfId="6" applyFont="1" applyFill="1" applyBorder="1" applyAlignment="1">
      <alignment horizontal="center" vertical="top"/>
    </xf>
    <xf numFmtId="0" fontId="6" fillId="0" borderId="13" xfId="6" applyFont="1" applyFill="1" applyBorder="1" applyAlignment="1">
      <alignment horizontal="center" vertical="top"/>
    </xf>
    <xf numFmtId="0" fontId="6" fillId="0" borderId="14" xfId="6" applyFont="1" applyFill="1" applyBorder="1" applyAlignment="1">
      <alignment horizontal="center" vertical="top"/>
    </xf>
    <xf numFmtId="0" fontId="6" fillId="0" borderId="15" xfId="6" applyFont="1" applyFill="1" applyBorder="1" applyAlignment="1">
      <alignment horizontal="center" vertical="top"/>
    </xf>
    <xf numFmtId="0" fontId="6" fillId="0" borderId="7" xfId="8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6" fillId="0" borderId="7" xfId="8" applyFont="1" applyFill="1" applyBorder="1" applyAlignment="1">
      <alignment horizontal="left" wrapText="1"/>
    </xf>
    <xf numFmtId="0" fontId="46" fillId="0" borderId="7" xfId="8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5" fillId="3" borderId="16" xfId="0" applyFont="1" applyFill="1" applyBorder="1" applyAlignment="1">
      <alignment horizontal="left" vertical="top" wrapText="1"/>
    </xf>
    <xf numFmtId="0" fontId="45" fillId="3" borderId="1" xfId="0" applyFont="1" applyFill="1" applyBorder="1" applyAlignment="1">
      <alignment horizontal="left" vertical="top" wrapText="1"/>
    </xf>
    <xf numFmtId="0" fontId="6" fillId="0" borderId="10" xfId="6" applyFont="1" applyFill="1" applyBorder="1" applyAlignment="1">
      <alignment horizontal="center" vertical="top" wrapText="1"/>
    </xf>
    <xf numFmtId="0" fontId="6" fillId="0" borderId="13" xfId="6" applyFont="1" applyFill="1" applyBorder="1" applyAlignment="1">
      <alignment horizontal="center" vertical="top" wrapText="1"/>
    </xf>
    <xf numFmtId="0" fontId="6" fillId="0" borderId="14" xfId="6" applyFont="1" applyFill="1" applyBorder="1" applyAlignment="1">
      <alignment horizontal="center" vertical="top" wrapText="1"/>
    </xf>
    <xf numFmtId="0" fontId="6" fillId="0" borderId="15" xfId="6" applyFont="1" applyFill="1" applyBorder="1" applyAlignment="1">
      <alignment horizontal="center" vertical="top" wrapText="1"/>
    </xf>
    <xf numFmtId="0" fontId="6" fillId="0" borderId="16" xfId="6" applyFont="1" applyFill="1" applyBorder="1" applyAlignment="1">
      <alignment horizontal="center" vertical="top" wrapText="1"/>
    </xf>
    <xf numFmtId="0" fontId="6" fillId="0" borderId="17" xfId="6" applyFont="1" applyFill="1" applyBorder="1" applyAlignment="1">
      <alignment horizontal="center" vertical="top" wrapText="1"/>
    </xf>
    <xf numFmtId="0" fontId="45" fillId="0" borderId="3" xfId="8" applyFont="1" applyFill="1" applyBorder="1" applyAlignment="1">
      <alignment horizontal="left" vertical="top" wrapText="1"/>
    </xf>
    <xf numFmtId="0" fontId="45" fillId="0" borderId="5" xfId="8" applyFont="1" applyFill="1" applyBorder="1" applyAlignment="1">
      <alignment horizontal="left" vertical="top" wrapText="1"/>
    </xf>
    <xf numFmtId="0" fontId="45" fillId="0" borderId="4" xfId="8" applyFont="1" applyFill="1" applyBorder="1" applyAlignment="1">
      <alignment horizontal="left" vertical="top" wrapText="1"/>
    </xf>
    <xf numFmtId="0" fontId="5" fillId="0" borderId="7" xfId="8" applyFont="1" applyFill="1" applyBorder="1" applyAlignment="1">
      <alignment horizontal="left" vertical="top" wrapText="1"/>
    </xf>
    <xf numFmtId="0" fontId="6" fillId="0" borderId="9" xfId="8" applyFont="1" applyFill="1" applyBorder="1" applyAlignment="1">
      <alignment horizontal="center" vertical="center" wrapText="1"/>
    </xf>
    <xf numFmtId="0" fontId="6" fillId="0" borderId="14" xfId="6" applyFont="1" applyFill="1" applyBorder="1" applyAlignment="1">
      <alignment horizontal="center" vertical="center" wrapText="1"/>
    </xf>
    <xf numFmtId="0" fontId="6" fillId="0" borderId="15" xfId="6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10" xfId="8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6" fillId="0" borderId="16" xfId="8" applyFont="1" applyFill="1" applyBorder="1" applyAlignment="1">
      <alignment horizontal="center" vertical="center" wrapText="1"/>
    </xf>
    <xf numFmtId="0" fontId="6" fillId="0" borderId="17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/>
    </xf>
    <xf numFmtId="0" fontId="6" fillId="0" borderId="2" xfId="8" applyFont="1" applyFill="1" applyBorder="1" applyAlignment="1">
      <alignment horizontal="center" vertical="top" wrapText="1"/>
    </xf>
    <xf numFmtId="0" fontId="6" fillId="0" borderId="9" xfId="8" applyFont="1" applyFill="1" applyBorder="1" applyAlignment="1">
      <alignment horizontal="center" vertical="top" wrapText="1"/>
    </xf>
    <xf numFmtId="0" fontId="6" fillId="0" borderId="6" xfId="8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7" xfId="8" applyFont="1" applyFill="1" applyBorder="1" applyAlignment="1">
      <alignment horizontal="left" vertical="top" wrapText="1"/>
    </xf>
    <xf numFmtId="0" fontId="7" fillId="0" borderId="9" xfId="8" applyFont="1" applyFill="1" applyBorder="1" applyAlignment="1">
      <alignment horizontal="center" vertical="center" wrapText="1"/>
    </xf>
    <xf numFmtId="0" fontId="6" fillId="0" borderId="6" xfId="8" applyFont="1" applyFill="1" applyBorder="1" applyAlignment="1">
      <alignment horizontal="center" vertical="center" wrapText="1"/>
    </xf>
    <xf numFmtId="187" fontId="46" fillId="4" borderId="7" xfId="8" applyNumberFormat="1" applyFont="1" applyFill="1" applyBorder="1" applyAlignment="1">
      <alignment horizontal="left" vertical="top" wrapText="1"/>
    </xf>
    <xf numFmtId="0" fontId="45" fillId="0" borderId="3" xfId="8" applyFont="1" applyFill="1" applyBorder="1" applyAlignment="1">
      <alignment horizontal="left" vertical="center" wrapText="1"/>
    </xf>
    <xf numFmtId="0" fontId="45" fillId="0" borderId="5" xfId="8" applyFont="1" applyFill="1" applyBorder="1" applyAlignment="1">
      <alignment horizontal="left" vertical="center" wrapText="1"/>
    </xf>
    <xf numFmtId="0" fontId="45" fillId="0" borderId="4" xfId="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5" fillId="0" borderId="7" xfId="10" applyFont="1" applyFill="1" applyBorder="1" applyAlignment="1">
      <alignment horizontal="left" vertical="center" wrapText="1"/>
    </xf>
    <xf numFmtId="187" fontId="6" fillId="0" borderId="9" xfId="5" applyNumberFormat="1" applyFont="1" applyFill="1" applyBorder="1" applyAlignment="1">
      <alignment horizontal="center" vertical="center" wrapText="1"/>
    </xf>
    <xf numFmtId="187" fontId="6" fillId="0" borderId="6" xfId="5" applyNumberFormat="1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left" vertical="top" wrapText="1"/>
    </xf>
    <xf numFmtId="0" fontId="6" fillId="12" borderId="4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88" fontId="6" fillId="0" borderId="9" xfId="0" applyNumberFormat="1" applyFont="1" applyFill="1" applyBorder="1" applyAlignment="1">
      <alignment horizontal="center" vertical="center" wrapText="1"/>
    </xf>
    <xf numFmtId="0" fontId="3" fillId="0" borderId="0" xfId="8" applyFont="1" applyAlignment="1">
      <alignment horizontal="center"/>
    </xf>
    <xf numFmtId="0" fontId="15" fillId="0" borderId="7" xfId="8" applyFont="1" applyBorder="1" applyAlignment="1">
      <alignment horizontal="left" vertical="top" wrapText="1"/>
    </xf>
    <xf numFmtId="0" fontId="6" fillId="0" borderId="2" xfId="8" applyFont="1" applyBorder="1" applyAlignment="1">
      <alignment horizontal="center" vertical="center" wrapText="1"/>
    </xf>
    <xf numFmtId="0" fontId="6" fillId="0" borderId="9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6" fillId="0" borderId="10" xfId="8" applyFont="1" applyBorder="1" applyAlignment="1">
      <alignment horizontal="center" vertical="center" wrapText="1"/>
    </xf>
    <xf numFmtId="0" fontId="6" fillId="0" borderId="13" xfId="8" applyFont="1" applyBorder="1" applyAlignment="1">
      <alignment horizontal="center" vertical="center" wrapText="1"/>
    </xf>
    <xf numFmtId="0" fontId="6" fillId="0" borderId="16" xfId="8" applyFont="1" applyBorder="1" applyAlignment="1">
      <alignment horizontal="center" vertical="center" wrapText="1"/>
    </xf>
    <xf numFmtId="0" fontId="6" fillId="0" borderId="17" xfId="8" applyFont="1" applyBorder="1" applyAlignment="1">
      <alignment horizontal="center" vertical="center" wrapText="1"/>
    </xf>
    <xf numFmtId="0" fontId="6" fillId="0" borderId="7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left" vertical="top" wrapText="1"/>
    </xf>
    <xf numFmtId="0" fontId="95" fillId="0" borderId="2" xfId="0" applyFont="1" applyBorder="1" applyAlignment="1">
      <alignment horizontal="left" vertical="top" wrapText="1"/>
    </xf>
    <xf numFmtId="0" fontId="95" fillId="0" borderId="9" xfId="0" applyFont="1" applyBorder="1" applyAlignment="1">
      <alignment horizontal="left" vertical="top" wrapText="1"/>
    </xf>
    <xf numFmtId="0" fontId="95" fillId="0" borderId="6" xfId="0" applyFont="1" applyBorder="1" applyAlignment="1">
      <alignment horizontal="left" vertical="top" wrapText="1"/>
    </xf>
    <xf numFmtId="0" fontId="6" fillId="0" borderId="3" xfId="8" applyFont="1" applyBorder="1" applyAlignment="1">
      <alignment horizontal="center"/>
    </xf>
    <xf numFmtId="0" fontId="6" fillId="0" borderId="5" xfId="8" applyFont="1" applyBorder="1" applyAlignment="1">
      <alignment horizontal="center"/>
    </xf>
    <xf numFmtId="0" fontId="6" fillId="0" borderId="4" xfId="8" applyFont="1" applyBorder="1" applyAlignment="1">
      <alignment horizontal="center"/>
    </xf>
    <xf numFmtId="0" fontId="59" fillId="0" borderId="7" xfId="11" applyFont="1" applyBorder="1" applyAlignment="1">
      <alignment horizontal="left" vertical="top" wrapText="1"/>
    </xf>
    <xf numFmtId="0" fontId="99" fillId="0" borderId="7" xfId="11" applyFont="1" applyBorder="1" applyAlignment="1">
      <alignment horizontal="center" vertical="top" wrapText="1"/>
    </xf>
    <xf numFmtId="0" fontId="60" fillId="0" borderId="7" xfId="11" applyFont="1" applyBorder="1" applyAlignment="1">
      <alignment horizontal="center" vertical="center" wrapText="1"/>
    </xf>
    <xf numFmtId="0" fontId="100" fillId="0" borderId="7" xfId="11" applyFont="1" applyBorder="1" applyAlignment="1">
      <alignment horizontal="center" vertical="center" wrapText="1"/>
    </xf>
    <xf numFmtId="0" fontId="6" fillId="0" borderId="7" xfId="11" applyFont="1" applyBorder="1" applyAlignment="1">
      <alignment horizontal="center" vertical="center" wrapText="1"/>
    </xf>
    <xf numFmtId="0" fontId="60" fillId="0" borderId="7" xfId="11" applyFont="1" applyBorder="1" applyAlignment="1">
      <alignment horizontal="center" vertical="top" wrapText="1"/>
    </xf>
    <xf numFmtId="0" fontId="60" fillId="0" borderId="10" xfId="6" applyFont="1" applyFill="1" applyBorder="1" applyAlignment="1">
      <alignment horizontal="center" vertical="center" wrapText="1"/>
    </xf>
    <xf numFmtId="0" fontId="60" fillId="0" borderId="20" xfId="6" applyFont="1" applyFill="1" applyBorder="1" applyAlignment="1">
      <alignment horizontal="center" vertical="center" wrapText="1"/>
    </xf>
    <xf numFmtId="0" fontId="60" fillId="0" borderId="14" xfId="6" applyFont="1" applyFill="1" applyBorder="1" applyAlignment="1">
      <alignment horizontal="center" vertical="center" wrapText="1"/>
    </xf>
    <xf numFmtId="0" fontId="60" fillId="0" borderId="0" xfId="6" applyFont="1" applyFill="1" applyBorder="1" applyAlignment="1">
      <alignment horizontal="center" vertical="center" wrapText="1"/>
    </xf>
    <xf numFmtId="0" fontId="97" fillId="0" borderId="0" xfId="6" applyFont="1" applyFill="1" applyBorder="1" applyAlignment="1">
      <alignment horizontal="center"/>
    </xf>
    <xf numFmtId="0" fontId="97" fillId="0" borderId="0" xfId="11" applyFont="1" applyBorder="1" applyAlignment="1">
      <alignment horizontal="center"/>
    </xf>
    <xf numFmtId="0" fontId="60" fillId="0" borderId="7" xfId="0" applyFont="1" applyFill="1" applyBorder="1" applyAlignment="1">
      <alignment horizontal="center" vertical="center" wrapText="1"/>
    </xf>
    <xf numFmtId="0" fontId="60" fillId="0" borderId="3" xfId="11" applyFont="1" applyBorder="1" applyAlignment="1">
      <alignment horizontal="center"/>
    </xf>
    <xf numFmtId="0" fontId="60" fillId="0" borderId="5" xfId="11" applyFont="1" applyBorder="1" applyAlignment="1">
      <alignment horizontal="center"/>
    </xf>
    <xf numFmtId="0" fontId="60" fillId="0" borderId="4" xfId="11" applyFont="1" applyBorder="1" applyAlignment="1">
      <alignment horizontal="center"/>
    </xf>
    <xf numFmtId="0" fontId="60" fillId="0" borderId="2" xfId="11" applyFont="1" applyBorder="1" applyAlignment="1">
      <alignment horizontal="center" vertical="center"/>
    </xf>
    <xf numFmtId="0" fontId="60" fillId="0" borderId="6" xfId="11" applyFont="1" applyBorder="1" applyAlignment="1">
      <alignment horizontal="center" vertical="center"/>
    </xf>
    <xf numFmtId="0" fontId="59" fillId="0" borderId="7" xfId="11" applyFont="1" applyBorder="1" applyAlignment="1">
      <alignment horizontal="left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58" fillId="0" borderId="7" xfId="0" applyFont="1" applyBorder="1" applyAlignment="1">
      <alignment horizontal="left" vertical="top" wrapText="1"/>
    </xf>
    <xf numFmtId="0" fontId="102" fillId="0" borderId="7" xfId="0" applyFont="1" applyBorder="1" applyAlignment="1">
      <alignment horizontal="left" vertical="top" wrapText="1"/>
    </xf>
    <xf numFmtId="0" fontId="22" fillId="0" borderId="7" xfId="8" applyFont="1" applyBorder="1" applyAlignment="1">
      <alignment horizontal="left" vertical="top" wrapText="1"/>
    </xf>
    <xf numFmtId="0" fontId="58" fillId="0" borderId="2" xfId="0" applyFont="1" applyBorder="1" applyAlignment="1">
      <alignment horizontal="left" vertical="top" wrapText="1"/>
    </xf>
    <xf numFmtId="0" fontId="58" fillId="0" borderId="9" xfId="0" applyFont="1" applyBorder="1" applyAlignment="1">
      <alignment horizontal="left" vertical="top" wrapText="1"/>
    </xf>
    <xf numFmtId="0" fontId="58" fillId="0" borderId="6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2" xfId="8" applyFont="1" applyBorder="1" applyAlignment="1">
      <alignment horizontal="center" vertical="center"/>
    </xf>
    <xf numFmtId="0" fontId="6" fillId="0" borderId="6" xfId="8" applyFont="1" applyBorder="1" applyAlignment="1">
      <alignment horizontal="center" vertical="center"/>
    </xf>
    <xf numFmtId="0" fontId="6" fillId="0" borderId="9" xfId="8" applyFont="1" applyBorder="1" applyAlignment="1">
      <alignment horizontal="center" vertical="top" wrapText="1"/>
    </xf>
    <xf numFmtId="0" fontId="6" fillId="0" borderId="6" xfId="8" applyFont="1" applyBorder="1" applyAlignment="1">
      <alignment horizontal="center" vertical="top" wrapText="1"/>
    </xf>
    <xf numFmtId="3" fontId="6" fillId="9" borderId="2" xfId="0" applyNumberFormat="1" applyFont="1" applyFill="1" applyBorder="1" applyAlignment="1">
      <alignment horizontal="center" vertical="center" wrapText="1"/>
    </xf>
    <xf numFmtId="3" fontId="6" fillId="9" borderId="9" xfId="0" applyNumberFormat="1" applyFont="1" applyFill="1" applyBorder="1" applyAlignment="1">
      <alignment horizontal="center" vertical="center" wrapText="1"/>
    </xf>
    <xf numFmtId="3" fontId="6" fillId="9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</cellXfs>
  <cellStyles count="27">
    <cellStyle name="75" xfId="14" xr:uid="{00000000-0005-0000-0000-000000000000}"/>
    <cellStyle name="Comma" xfId="5" builtinId="3"/>
    <cellStyle name="Comma 2" xfId="9" xr:uid="{00000000-0005-0000-0000-000002000000}"/>
    <cellStyle name="Comma 3" xfId="24" xr:uid="{00000000-0005-0000-0000-000003000000}"/>
    <cellStyle name="Comma 4" xfId="26" xr:uid="{00000000-0005-0000-0000-000004000000}"/>
    <cellStyle name="Header1" xfId="15" xr:uid="{00000000-0005-0000-0000-000005000000}"/>
    <cellStyle name="Header2" xfId="16" xr:uid="{00000000-0005-0000-0000-000006000000}"/>
    <cellStyle name="Normal" xfId="0" builtinId="0"/>
    <cellStyle name="Normal 12 2" xfId="8" xr:uid="{00000000-0005-0000-0000-000008000000}"/>
    <cellStyle name="Normal 2" xfId="11" xr:uid="{00000000-0005-0000-0000-000009000000}"/>
    <cellStyle name="Normal 2 2" xfId="25" xr:uid="{00000000-0005-0000-0000-00000A000000}"/>
    <cellStyle name="Normal 3" xfId="13" xr:uid="{00000000-0005-0000-0000-00000B000000}"/>
    <cellStyle name="เครื่องหมายจุลภาค 2" xfId="3" xr:uid="{00000000-0005-0000-0000-00000C000000}"/>
    <cellStyle name="เครื่องหมายจุลภาค 2 6" xfId="12" xr:uid="{00000000-0005-0000-0000-00000D000000}"/>
    <cellStyle name="น้บะภฒ_95" xfId="17" xr:uid="{00000000-0005-0000-0000-00000E000000}"/>
    <cellStyle name="ปกติ 2" xfId="2" xr:uid="{00000000-0005-0000-0000-00000F000000}"/>
    <cellStyle name="ปกติ 2 5" xfId="7" xr:uid="{00000000-0005-0000-0000-000010000000}"/>
    <cellStyle name="ปกติ 3" xfId="1" xr:uid="{00000000-0005-0000-0000-000011000000}"/>
    <cellStyle name="ปกติ 3 2" xfId="10" xr:uid="{00000000-0005-0000-0000-000012000000}"/>
    <cellStyle name="ปกติ 4" xfId="4" xr:uid="{00000000-0005-0000-0000-000013000000}"/>
    <cellStyle name="ปกติ_%b8%81ารใช้จ่ายงบประมาณ" xfId="18" xr:uid="{00000000-0005-0000-0000-000014000000}"/>
    <cellStyle name="ปกติ_แบบฟอร์มกรรมาธิการฯ 59-2 2" xfId="6" xr:uid="{00000000-0005-0000-0000-000015000000}"/>
    <cellStyle name="ฤธถ [0]_95" xfId="19" xr:uid="{00000000-0005-0000-0000-000016000000}"/>
    <cellStyle name="ฤธถ_95" xfId="20" xr:uid="{00000000-0005-0000-0000-000017000000}"/>
    <cellStyle name="ล๋ศญ [0]_95" xfId="21" xr:uid="{00000000-0005-0000-0000-000018000000}"/>
    <cellStyle name="ล๋ศญ_95" xfId="22" xr:uid="{00000000-0005-0000-0000-000019000000}"/>
    <cellStyle name="วฅมุ_4ฟ๙ฝวภ๛" xfId="23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JD81"/>
  <sheetViews>
    <sheetView zoomScaleNormal="100" zoomScaleSheetLayoutView="110" workbookViewId="0">
      <selection activeCell="C14" sqref="C14"/>
    </sheetView>
  </sheetViews>
  <sheetFormatPr defaultColWidth="9.125" defaultRowHeight="21.75"/>
  <cols>
    <col min="1" max="1" width="4.375" style="39" customWidth="1"/>
    <col min="2" max="2" width="4.5" style="39" customWidth="1"/>
    <col min="3" max="3" width="43.875" style="1" customWidth="1"/>
    <col min="4" max="4" width="9.25" style="29" customWidth="1"/>
    <col min="5" max="7" width="8.75" style="29" customWidth="1"/>
    <col min="8" max="8" width="7.75" style="68" customWidth="1"/>
    <col min="9" max="9" width="5.375" style="68" customWidth="1"/>
    <col min="10" max="10" width="6" style="68" customWidth="1"/>
    <col min="11" max="11" width="6.75" style="68" customWidth="1"/>
    <col min="12" max="12" width="6.875" style="1" customWidth="1"/>
    <col min="13" max="13" width="8" style="1" customWidth="1"/>
    <col min="14" max="14" width="7.625" style="1" customWidth="1"/>
    <col min="15" max="15" width="9.375" style="1" customWidth="1"/>
    <col min="16" max="16" width="10.625" style="1" customWidth="1"/>
    <col min="17" max="17" width="5.75" style="158" customWidth="1"/>
    <col min="18" max="18" width="6.25" style="158" customWidth="1"/>
    <col min="19" max="19" width="20.25" style="30" customWidth="1"/>
    <col min="20" max="16384" width="9.125" style="1"/>
  </cols>
  <sheetData>
    <row r="1" spans="1:264" ht="24.75" customHeight="1">
      <c r="A1" s="1571" t="s">
        <v>1774</v>
      </c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1"/>
      <c r="O1" s="1571"/>
      <c r="P1" s="1571"/>
      <c r="Q1" s="1571"/>
      <c r="R1" s="1571"/>
      <c r="S1" s="1571"/>
    </row>
    <row r="2" spans="1:264" ht="24.75" customHeight="1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</row>
    <row r="3" spans="1:264">
      <c r="A3" s="79" t="s">
        <v>0</v>
      </c>
      <c r="B3" s="7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</row>
    <row r="4" spans="1:264">
      <c r="A4" s="79" t="s">
        <v>1</v>
      </c>
      <c r="B4" s="7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S4" s="6" t="s">
        <v>1728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</row>
    <row r="5" spans="1:264">
      <c r="C5" s="7"/>
      <c r="D5" s="7"/>
      <c r="E5" s="7"/>
      <c r="F5" s="7"/>
      <c r="G5" s="8"/>
      <c r="L5" s="8"/>
      <c r="M5" s="8"/>
      <c r="N5" s="8"/>
      <c r="O5" s="8"/>
      <c r="P5" s="9"/>
      <c r="S5" s="42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</row>
    <row r="6" spans="1:264" ht="21" customHeight="1">
      <c r="A6" s="1587" t="s">
        <v>87</v>
      </c>
      <c r="B6" s="1588"/>
      <c r="C6" s="1591" t="s">
        <v>2</v>
      </c>
      <c r="D6" s="1593" t="s">
        <v>15</v>
      </c>
      <c r="E6" s="1593"/>
      <c r="F6" s="1593" t="s">
        <v>28</v>
      </c>
      <c r="G6" s="1594"/>
      <c r="H6" s="1575" t="s">
        <v>63</v>
      </c>
      <c r="I6" s="1576"/>
      <c r="J6" s="1576"/>
      <c r="K6" s="1576"/>
      <c r="L6" s="1576"/>
      <c r="M6" s="1576"/>
      <c r="N6" s="1576"/>
      <c r="O6" s="1576"/>
      <c r="P6" s="1576"/>
      <c r="Q6" s="1577" t="s">
        <v>89</v>
      </c>
      <c r="R6" s="1584" t="s">
        <v>90</v>
      </c>
      <c r="S6" s="1577" t="s">
        <v>3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</row>
    <row r="7" spans="1:264" ht="47.25" customHeight="1">
      <c r="A7" s="1589"/>
      <c r="B7" s="1590"/>
      <c r="C7" s="1592"/>
      <c r="D7" s="443" t="s">
        <v>4</v>
      </c>
      <c r="E7" s="444" t="s">
        <v>5</v>
      </c>
      <c r="F7" s="445" t="s">
        <v>4</v>
      </c>
      <c r="G7" s="443" t="s">
        <v>6</v>
      </c>
      <c r="H7" s="73" t="s">
        <v>76</v>
      </c>
      <c r="I7" s="1572" t="s">
        <v>77</v>
      </c>
      <c r="J7" s="1573"/>
      <c r="K7" s="1574"/>
      <c r="L7" s="1577" t="s">
        <v>7</v>
      </c>
      <c r="M7" s="1577" t="s">
        <v>16</v>
      </c>
      <c r="N7" s="1577" t="s">
        <v>8</v>
      </c>
      <c r="O7" s="1579" t="s">
        <v>9</v>
      </c>
      <c r="P7" s="1581" t="s">
        <v>10</v>
      </c>
      <c r="Q7" s="1583"/>
      <c r="R7" s="1585"/>
      <c r="S7" s="1583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</row>
    <row r="8" spans="1:264" ht="18.75">
      <c r="A8" s="442" t="s">
        <v>96</v>
      </c>
      <c r="B8" s="442" t="s">
        <v>97</v>
      </c>
      <c r="C8" s="77"/>
      <c r="D8" s="439"/>
      <c r="E8" s="440"/>
      <c r="F8" s="438"/>
      <c r="G8" s="439"/>
      <c r="H8" s="441"/>
      <c r="I8" s="78" t="s">
        <v>78</v>
      </c>
      <c r="J8" s="69" t="s">
        <v>79</v>
      </c>
      <c r="K8" s="69" t="s">
        <v>80</v>
      </c>
      <c r="L8" s="1578"/>
      <c r="M8" s="1578"/>
      <c r="N8" s="1578"/>
      <c r="O8" s="1580"/>
      <c r="P8" s="1582"/>
      <c r="Q8" s="1578"/>
      <c r="R8" s="1586"/>
      <c r="S8" s="8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</row>
    <row r="9" spans="1:264" thickBot="1">
      <c r="A9" s="442"/>
      <c r="B9" s="442"/>
      <c r="C9" s="420" t="s">
        <v>11</v>
      </c>
      <c r="D9" s="421">
        <v>13144800</v>
      </c>
      <c r="E9" s="57"/>
      <c r="F9" s="452">
        <v>13069900</v>
      </c>
      <c r="G9" s="12"/>
      <c r="H9" s="422"/>
      <c r="I9" s="422"/>
      <c r="J9" s="70"/>
      <c r="K9" s="70"/>
      <c r="L9" s="13"/>
      <c r="M9" s="13"/>
      <c r="N9" s="13"/>
      <c r="O9" s="13"/>
      <c r="P9" s="437">
        <f>P15+P26</f>
        <v>17890000</v>
      </c>
      <c r="Q9" s="458"/>
      <c r="R9" s="458"/>
      <c r="S9" s="42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</row>
    <row r="10" spans="1:264" ht="22.5" customHeight="1" thickTop="1">
      <c r="A10" s="160"/>
      <c r="B10" s="160"/>
      <c r="C10" s="418" t="s">
        <v>817</v>
      </c>
      <c r="D10" s="15"/>
      <c r="E10" s="15"/>
      <c r="F10" s="15"/>
      <c r="G10" s="16"/>
      <c r="H10" s="71"/>
      <c r="I10" s="71"/>
      <c r="J10" s="71"/>
      <c r="K10" s="71"/>
      <c r="L10" s="16"/>
      <c r="M10" s="16"/>
      <c r="N10" s="16"/>
      <c r="O10" s="18"/>
      <c r="P10" s="19"/>
      <c r="Q10" s="425"/>
      <c r="R10" s="425"/>
      <c r="S10" s="453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</row>
    <row r="11" spans="1:264" ht="41.25" customHeight="1">
      <c r="A11" s="160"/>
      <c r="B11" s="160"/>
      <c r="C11" s="418" t="s">
        <v>818</v>
      </c>
      <c r="D11" s="15"/>
      <c r="E11" s="15"/>
      <c r="F11" s="15"/>
      <c r="G11" s="16"/>
      <c r="H11" s="71"/>
      <c r="I11" s="71"/>
      <c r="J11" s="71"/>
      <c r="K11" s="71"/>
      <c r="L11" s="16"/>
      <c r="M11" s="16"/>
      <c r="N11" s="16"/>
      <c r="O11" s="18"/>
      <c r="P11" s="19"/>
      <c r="Q11" s="425"/>
      <c r="R11" s="425"/>
      <c r="S11" s="453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</row>
    <row r="12" spans="1:264" ht="22.5" customHeight="1">
      <c r="A12" s="160"/>
      <c r="B12" s="160"/>
      <c r="C12" s="418" t="s">
        <v>819</v>
      </c>
      <c r="D12" s="15"/>
      <c r="E12" s="15"/>
      <c r="F12" s="15"/>
      <c r="G12" s="16"/>
      <c r="H12" s="71"/>
      <c r="I12" s="71"/>
      <c r="J12" s="71"/>
      <c r="K12" s="71"/>
      <c r="L12" s="16"/>
      <c r="M12" s="16"/>
      <c r="N12" s="16"/>
      <c r="O12" s="18"/>
      <c r="P12" s="19"/>
      <c r="Q12" s="426"/>
      <c r="R12" s="426"/>
      <c r="S12" s="453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</row>
    <row r="13" spans="1:264" ht="20.25" customHeight="1">
      <c r="A13" s="160"/>
      <c r="B13" s="160"/>
      <c r="C13" s="418" t="s">
        <v>820</v>
      </c>
      <c r="D13" s="15"/>
      <c r="E13" s="15"/>
      <c r="F13" s="15"/>
      <c r="G13" s="16"/>
      <c r="H13" s="71"/>
      <c r="I13" s="71"/>
      <c r="J13" s="71"/>
      <c r="K13" s="71"/>
      <c r="L13" s="16"/>
      <c r="M13" s="16"/>
      <c r="N13" s="16"/>
      <c r="O13" s="18"/>
      <c r="P13" s="19"/>
      <c r="Q13" s="427"/>
      <c r="R13" s="427"/>
      <c r="S13" s="453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</row>
    <row r="14" spans="1:264" ht="41.25" customHeight="1">
      <c r="A14" s="419"/>
      <c r="B14" s="419"/>
      <c r="C14" s="15" t="s">
        <v>1775</v>
      </c>
      <c r="D14" s="15"/>
      <c r="E14" s="15"/>
      <c r="F14" s="15"/>
      <c r="G14" s="16"/>
      <c r="H14" s="71"/>
      <c r="I14" s="71"/>
      <c r="J14" s="71"/>
      <c r="K14" s="71"/>
      <c r="L14" s="16"/>
      <c r="M14" s="16"/>
      <c r="N14" s="16"/>
      <c r="O14" s="16"/>
      <c r="P14" s="17"/>
      <c r="Q14" s="188"/>
      <c r="R14" s="188"/>
      <c r="S14" s="45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</row>
    <row r="15" spans="1:264">
      <c r="A15" s="72"/>
      <c r="B15" s="72"/>
      <c r="C15" s="15" t="s">
        <v>12</v>
      </c>
      <c r="D15" s="36"/>
      <c r="E15" s="15"/>
      <c r="F15" s="36"/>
      <c r="G15" s="20"/>
      <c r="H15" s="71"/>
      <c r="I15" s="71"/>
      <c r="J15" s="71"/>
      <c r="K15" s="71"/>
      <c r="L15" s="20"/>
      <c r="M15" s="20"/>
      <c r="N15" s="20"/>
      <c r="O15" s="21"/>
      <c r="P15" s="51">
        <f>P16+P22</f>
        <v>7242000</v>
      </c>
      <c r="Q15" s="188"/>
      <c r="R15" s="188"/>
      <c r="S15" s="455" t="s">
        <v>821</v>
      </c>
      <c r="U15" s="2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</row>
    <row r="16" spans="1:264" ht="18.75" customHeight="1">
      <c r="A16" s="72"/>
      <c r="B16" s="72"/>
      <c r="C16" s="15" t="s">
        <v>13</v>
      </c>
      <c r="D16" s="36"/>
      <c r="E16" s="15"/>
      <c r="F16" s="36"/>
      <c r="G16" s="16"/>
      <c r="H16" s="72"/>
      <c r="I16" s="72"/>
      <c r="J16" s="72"/>
      <c r="K16" s="72"/>
      <c r="L16" s="16"/>
      <c r="M16" s="16"/>
      <c r="N16" s="16"/>
      <c r="O16" s="31"/>
      <c r="P16" s="32">
        <f>SUM(P17:P21)</f>
        <v>6999000</v>
      </c>
      <c r="Q16" s="188"/>
      <c r="R16" s="188"/>
      <c r="S16" s="1569" t="s">
        <v>822</v>
      </c>
      <c r="U16" s="23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</row>
    <row r="17" spans="1:264" s="39" customFormat="1" ht="18" customHeight="1">
      <c r="A17" s="72"/>
      <c r="B17" s="72"/>
      <c r="C17" s="49" t="s">
        <v>29</v>
      </c>
      <c r="D17" s="36"/>
      <c r="E17" s="24"/>
      <c r="F17" s="36"/>
      <c r="G17" s="26"/>
      <c r="H17" s="74" t="s">
        <v>81</v>
      </c>
      <c r="I17" s="72"/>
      <c r="J17" s="69" t="s">
        <v>79</v>
      </c>
      <c r="K17" s="72"/>
      <c r="L17" s="25">
        <v>1</v>
      </c>
      <c r="M17" s="25">
        <v>12</v>
      </c>
      <c r="N17" s="25">
        <v>3</v>
      </c>
      <c r="O17" s="27">
        <v>80000</v>
      </c>
      <c r="P17" s="33">
        <f>L17*N17*O17</f>
        <v>240000</v>
      </c>
      <c r="Q17" s="188"/>
      <c r="R17" s="188"/>
      <c r="S17" s="1569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</row>
    <row r="18" spans="1:264" s="39" customFormat="1" ht="18" customHeight="1">
      <c r="A18" s="72"/>
      <c r="B18" s="72"/>
      <c r="C18" s="49" t="s">
        <v>30</v>
      </c>
      <c r="D18" s="36"/>
      <c r="E18" s="24"/>
      <c r="F18" s="36"/>
      <c r="G18" s="26"/>
      <c r="H18" s="74" t="s">
        <v>82</v>
      </c>
      <c r="I18" s="72"/>
      <c r="J18" s="69" t="s">
        <v>79</v>
      </c>
      <c r="K18" s="72"/>
      <c r="L18" s="25">
        <v>1</v>
      </c>
      <c r="M18" s="25">
        <v>7</v>
      </c>
      <c r="N18" s="25">
        <v>7</v>
      </c>
      <c r="O18" s="34">
        <v>65000</v>
      </c>
      <c r="P18" s="33">
        <f t="shared" ref="P18:P23" si="0">L18*N18*O18</f>
        <v>455000</v>
      </c>
      <c r="Q18" s="188"/>
      <c r="R18" s="188"/>
      <c r="S18" s="1569"/>
      <c r="U18" s="40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</row>
    <row r="19" spans="1:264" s="39" customFormat="1" ht="18" customHeight="1">
      <c r="A19" s="72"/>
      <c r="B19" s="72"/>
      <c r="C19" s="49" t="s">
        <v>66</v>
      </c>
      <c r="D19" s="36"/>
      <c r="E19" s="24"/>
      <c r="F19" s="36"/>
      <c r="G19" s="26"/>
      <c r="H19" s="74" t="s">
        <v>81</v>
      </c>
      <c r="I19" s="72"/>
      <c r="J19" s="69" t="s">
        <v>79</v>
      </c>
      <c r="K19" s="72"/>
      <c r="L19" s="25">
        <v>4</v>
      </c>
      <c r="M19" s="25">
        <v>10</v>
      </c>
      <c r="N19" s="25">
        <v>8</v>
      </c>
      <c r="O19" s="27">
        <v>66000</v>
      </c>
      <c r="P19" s="33">
        <f t="shared" si="0"/>
        <v>2112000</v>
      </c>
      <c r="Q19" s="188"/>
      <c r="R19" s="188"/>
      <c r="S19" s="1569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</row>
    <row r="20" spans="1:264" s="39" customFormat="1" ht="18" customHeight="1">
      <c r="A20" s="72"/>
      <c r="B20" s="72"/>
      <c r="C20" s="49" t="s">
        <v>65</v>
      </c>
      <c r="D20" s="36"/>
      <c r="E20" s="24"/>
      <c r="F20" s="36"/>
      <c r="G20" s="26"/>
      <c r="H20" s="74" t="s">
        <v>81</v>
      </c>
      <c r="I20" s="72"/>
      <c r="J20" s="69" t="s">
        <v>79</v>
      </c>
      <c r="K20" s="72"/>
      <c r="L20" s="25">
        <v>4</v>
      </c>
      <c r="M20" s="25">
        <v>10</v>
      </c>
      <c r="N20" s="25">
        <v>8</v>
      </c>
      <c r="O20" s="27">
        <v>66000</v>
      </c>
      <c r="P20" s="33">
        <f>L20*N20*O20</f>
        <v>2112000</v>
      </c>
      <c r="Q20" s="428"/>
      <c r="R20" s="428"/>
      <c r="S20" s="1569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</row>
    <row r="21" spans="1:264" s="39" customFormat="1" ht="18" customHeight="1">
      <c r="A21" s="54"/>
      <c r="B21" s="54"/>
      <c r="C21" s="49" t="s">
        <v>31</v>
      </c>
      <c r="D21" s="36"/>
      <c r="E21" s="24"/>
      <c r="F21" s="36"/>
      <c r="G21" s="26"/>
      <c r="H21" s="74" t="s">
        <v>81</v>
      </c>
      <c r="I21" s="72"/>
      <c r="J21" s="69" t="s">
        <v>79</v>
      </c>
      <c r="K21" s="72"/>
      <c r="L21" s="25">
        <v>4</v>
      </c>
      <c r="M21" s="25">
        <v>10</v>
      </c>
      <c r="N21" s="25">
        <v>8</v>
      </c>
      <c r="O21" s="27">
        <v>65000</v>
      </c>
      <c r="P21" s="33">
        <f t="shared" si="0"/>
        <v>2080000</v>
      </c>
      <c r="Q21" s="429"/>
      <c r="R21" s="429"/>
      <c r="S21" s="1569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</row>
    <row r="22" spans="1:264" s="39" customFormat="1" ht="18" customHeight="1">
      <c r="A22" s="54"/>
      <c r="B22" s="54"/>
      <c r="C22" s="14" t="s">
        <v>14</v>
      </c>
      <c r="D22" s="36"/>
      <c r="E22" s="14"/>
      <c r="F22" s="36"/>
      <c r="G22" s="26"/>
      <c r="H22" s="74"/>
      <c r="I22" s="72"/>
      <c r="J22" s="72"/>
      <c r="K22" s="72"/>
      <c r="L22" s="25"/>
      <c r="M22" s="26"/>
      <c r="N22" s="25"/>
      <c r="O22" s="27"/>
      <c r="P22" s="32">
        <f>SUM(P23:P24)</f>
        <v>243000</v>
      </c>
      <c r="Q22" s="430"/>
      <c r="R22" s="430"/>
      <c r="S22" s="1569"/>
      <c r="U22" s="40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</row>
    <row r="23" spans="1:264" s="39" customFormat="1" ht="18" customHeight="1">
      <c r="A23" s="54"/>
      <c r="B23" s="54"/>
      <c r="C23" s="49" t="s">
        <v>67</v>
      </c>
      <c r="D23" s="36"/>
      <c r="E23" s="24"/>
      <c r="F23" s="36"/>
      <c r="G23" s="26"/>
      <c r="H23" s="74" t="s">
        <v>83</v>
      </c>
      <c r="I23" s="72"/>
      <c r="J23" s="74" t="s">
        <v>78</v>
      </c>
      <c r="K23" s="72"/>
      <c r="L23" s="25">
        <v>1</v>
      </c>
      <c r="M23" s="25">
        <v>2</v>
      </c>
      <c r="N23" s="25">
        <v>9</v>
      </c>
      <c r="O23" s="27">
        <v>15000</v>
      </c>
      <c r="P23" s="33">
        <f t="shared" si="0"/>
        <v>135000</v>
      </c>
      <c r="Q23" s="428"/>
      <c r="R23" s="428"/>
      <c r="S23" s="1569"/>
      <c r="U23" s="40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</row>
    <row r="24" spans="1:264" s="39" customFormat="1" ht="18" customHeight="1">
      <c r="A24" s="54"/>
      <c r="B24" s="54"/>
      <c r="C24" s="49" t="s">
        <v>68</v>
      </c>
      <c r="D24" s="36"/>
      <c r="E24" s="24"/>
      <c r="F24" s="36"/>
      <c r="G24" s="26"/>
      <c r="H24" s="74" t="s">
        <v>83</v>
      </c>
      <c r="I24" s="72"/>
      <c r="J24" s="74" t="s">
        <v>78</v>
      </c>
      <c r="K24" s="72"/>
      <c r="L24" s="25">
        <v>1</v>
      </c>
      <c r="M24" s="25">
        <v>2</v>
      </c>
      <c r="N24" s="25">
        <v>9</v>
      </c>
      <c r="O24" s="27">
        <v>12000</v>
      </c>
      <c r="P24" s="33">
        <f>L24*N24*O24</f>
        <v>108000</v>
      </c>
      <c r="Q24" s="429"/>
      <c r="R24" s="429"/>
      <c r="S24" s="1569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</row>
    <row r="25" spans="1:264" s="39" customFormat="1" ht="18" customHeight="1">
      <c r="A25" s="54"/>
      <c r="B25" s="54"/>
      <c r="C25" s="49"/>
      <c r="D25" s="36"/>
      <c r="E25" s="24"/>
      <c r="F25" s="36"/>
      <c r="G25" s="26"/>
      <c r="H25" s="72"/>
      <c r="I25" s="72"/>
      <c r="J25" s="72"/>
      <c r="K25" s="72"/>
      <c r="L25" s="25"/>
      <c r="M25" s="25"/>
      <c r="N25" s="25"/>
      <c r="O25" s="27"/>
      <c r="P25" s="33"/>
      <c r="Q25" s="429"/>
      <c r="R25" s="429"/>
      <c r="S25" s="1569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</row>
    <row r="26" spans="1:264" s="39" customFormat="1" ht="18" customHeight="1">
      <c r="A26" s="54"/>
      <c r="B26" s="54"/>
      <c r="C26" s="14" t="s">
        <v>827</v>
      </c>
      <c r="D26" s="36"/>
      <c r="E26" s="14"/>
      <c r="F26" s="36"/>
      <c r="G26" s="26"/>
      <c r="H26" s="72"/>
      <c r="I26" s="72"/>
      <c r="J26" s="72"/>
      <c r="K26" s="72"/>
      <c r="L26" s="26"/>
      <c r="M26" s="26"/>
      <c r="N26" s="26"/>
      <c r="O26" s="27"/>
      <c r="P26" s="52">
        <f>P27+P46+P57+P66</f>
        <v>10648000</v>
      </c>
      <c r="Q26" s="429"/>
      <c r="R26" s="429"/>
      <c r="S26" s="1569"/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</row>
    <row r="27" spans="1:264" s="39" customFormat="1" ht="19.5" customHeight="1">
      <c r="A27" s="54"/>
      <c r="B27" s="54"/>
      <c r="C27" s="28" t="s">
        <v>32</v>
      </c>
      <c r="D27" s="36"/>
      <c r="E27" s="14"/>
      <c r="F27" s="36"/>
      <c r="G27" s="26"/>
      <c r="H27" s="72"/>
      <c r="I27" s="72"/>
      <c r="J27" s="72"/>
      <c r="K27" s="72"/>
      <c r="L27" s="26"/>
      <c r="M27" s="26"/>
      <c r="N27" s="26"/>
      <c r="O27" s="27"/>
      <c r="P27" s="51">
        <f>P28+P37</f>
        <v>753760</v>
      </c>
      <c r="Q27" s="428"/>
      <c r="R27" s="428"/>
      <c r="S27" s="1569" t="s">
        <v>823</v>
      </c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</row>
    <row r="28" spans="1:264" s="39" customFormat="1" ht="37.5" customHeight="1">
      <c r="A28" s="54"/>
      <c r="B28" s="54"/>
      <c r="C28" s="14" t="s">
        <v>49</v>
      </c>
      <c r="D28" s="36"/>
      <c r="E28" s="14"/>
      <c r="F28" s="36"/>
      <c r="G28" s="42"/>
      <c r="H28" s="72"/>
      <c r="I28" s="72"/>
      <c r="J28" s="72"/>
      <c r="K28" s="72"/>
      <c r="L28" s="36"/>
      <c r="M28" s="37"/>
      <c r="N28" s="36"/>
      <c r="O28" s="36"/>
      <c r="P28" s="35">
        <f>SUM(P29:P35)</f>
        <v>201360</v>
      </c>
      <c r="Q28" s="429"/>
      <c r="R28" s="429"/>
      <c r="S28" s="1569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</row>
    <row r="29" spans="1:264" s="39" customFormat="1" ht="21.75" customHeight="1">
      <c r="A29" s="54"/>
      <c r="B29" s="54"/>
      <c r="C29" s="38" t="s">
        <v>35</v>
      </c>
      <c r="D29" s="36"/>
      <c r="E29" s="24"/>
      <c r="F29" s="36"/>
      <c r="G29" s="26"/>
      <c r="H29" s="72"/>
      <c r="I29" s="72"/>
      <c r="J29" s="72"/>
      <c r="K29" s="72"/>
      <c r="L29" s="27">
        <v>200</v>
      </c>
      <c r="M29" s="27" t="s">
        <v>17</v>
      </c>
      <c r="N29" s="27"/>
      <c r="O29" s="27">
        <v>600</v>
      </c>
      <c r="P29" s="33">
        <f>L29*O29</f>
        <v>120000</v>
      </c>
      <c r="Q29" s="429"/>
      <c r="R29" s="429"/>
      <c r="S29" s="1569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</row>
    <row r="30" spans="1:264" s="39" customFormat="1" ht="21.75" customHeight="1">
      <c r="A30" s="54"/>
      <c r="B30" s="54"/>
      <c r="C30" s="38" t="s">
        <v>71</v>
      </c>
      <c r="D30" s="36"/>
      <c r="E30" s="24"/>
      <c r="F30" s="36"/>
      <c r="G30" s="26"/>
      <c r="H30" s="72"/>
      <c r="I30" s="72"/>
      <c r="J30" s="72"/>
      <c r="K30" s="72"/>
      <c r="L30" s="27">
        <v>2</v>
      </c>
      <c r="M30" s="27" t="s">
        <v>18</v>
      </c>
      <c r="N30" s="27"/>
      <c r="O30" s="27">
        <v>15000</v>
      </c>
      <c r="P30" s="33">
        <f t="shared" ref="P30:P35" si="1">L30*O30</f>
        <v>30000</v>
      </c>
      <c r="Q30" s="431"/>
      <c r="R30" s="432"/>
      <c r="S30" s="1569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</row>
    <row r="31" spans="1:264" s="39" customFormat="1" ht="21.75" customHeight="1">
      <c r="A31" s="54"/>
      <c r="B31" s="139"/>
      <c r="C31" s="38" t="s">
        <v>74</v>
      </c>
      <c r="D31" s="36"/>
      <c r="E31" s="24"/>
      <c r="F31" s="36"/>
      <c r="G31" s="26"/>
      <c r="H31" s="72"/>
      <c r="I31" s="72"/>
      <c r="J31" s="72"/>
      <c r="K31" s="72"/>
      <c r="L31" s="27">
        <v>200</v>
      </c>
      <c r="M31" s="27" t="s">
        <v>19</v>
      </c>
      <c r="N31" s="27"/>
      <c r="O31" s="27">
        <v>70</v>
      </c>
      <c r="P31" s="33">
        <f t="shared" si="1"/>
        <v>14000</v>
      </c>
      <c r="Q31" s="433"/>
      <c r="R31" s="434"/>
      <c r="S31" s="45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</row>
    <row r="32" spans="1:264" s="39" customFormat="1" ht="21.75" customHeight="1">
      <c r="A32" s="54"/>
      <c r="B32" s="139"/>
      <c r="C32" s="38" t="s">
        <v>26</v>
      </c>
      <c r="D32" s="36"/>
      <c r="E32" s="24"/>
      <c r="F32" s="36"/>
      <c r="G32" s="26"/>
      <c r="H32" s="72"/>
      <c r="I32" s="72"/>
      <c r="J32" s="72"/>
      <c r="K32" s="72"/>
      <c r="L32" s="27">
        <v>12</v>
      </c>
      <c r="M32" s="27" t="s">
        <v>17</v>
      </c>
      <c r="N32" s="27"/>
      <c r="O32" s="27">
        <v>1200</v>
      </c>
      <c r="P32" s="33">
        <f t="shared" si="1"/>
        <v>14400</v>
      </c>
      <c r="Q32" s="187"/>
      <c r="R32" s="188"/>
      <c r="S32" s="45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</row>
    <row r="33" spans="1:264" s="62" customFormat="1" ht="21.75" customHeight="1">
      <c r="A33" s="54"/>
      <c r="B33" s="139"/>
      <c r="C33" s="38" t="s">
        <v>34</v>
      </c>
      <c r="D33" s="36"/>
      <c r="E33" s="15"/>
      <c r="F33" s="36"/>
      <c r="G33" s="26"/>
      <c r="H33" s="72"/>
      <c r="I33" s="72"/>
      <c r="J33" s="72"/>
      <c r="K33" s="72"/>
      <c r="L33" s="27">
        <v>4</v>
      </c>
      <c r="M33" s="27" t="s">
        <v>33</v>
      </c>
      <c r="N33" s="27"/>
      <c r="O33" s="27">
        <v>2500</v>
      </c>
      <c r="P33" s="33">
        <f t="shared" si="1"/>
        <v>10000</v>
      </c>
      <c r="Q33" s="187"/>
      <c r="R33" s="188"/>
      <c r="S33" s="453"/>
    </row>
    <row r="34" spans="1:264" s="39" customFormat="1" ht="21.75" customHeight="1">
      <c r="A34" s="54"/>
      <c r="B34" s="139"/>
      <c r="C34" s="38" t="s">
        <v>36</v>
      </c>
      <c r="D34" s="36"/>
      <c r="E34" s="15"/>
      <c r="F34" s="36"/>
      <c r="G34" s="26"/>
      <c r="H34" s="72"/>
      <c r="I34" s="72"/>
      <c r="J34" s="72"/>
      <c r="K34" s="72"/>
      <c r="L34" s="27">
        <v>6</v>
      </c>
      <c r="M34" s="27" t="s">
        <v>25</v>
      </c>
      <c r="N34" s="27"/>
      <c r="O34" s="27">
        <v>1200</v>
      </c>
      <c r="P34" s="33">
        <f t="shared" si="1"/>
        <v>7200</v>
      </c>
      <c r="Q34" s="187"/>
      <c r="R34" s="188"/>
      <c r="S34" s="453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</row>
    <row r="35" spans="1:264" s="62" customFormat="1" ht="21.75" customHeight="1">
      <c r="A35" s="54"/>
      <c r="B35" s="54"/>
      <c r="C35" s="38" t="s">
        <v>37</v>
      </c>
      <c r="D35" s="36"/>
      <c r="E35" s="15"/>
      <c r="F35" s="36"/>
      <c r="G35" s="26"/>
      <c r="H35" s="72"/>
      <c r="I35" s="72"/>
      <c r="J35" s="72"/>
      <c r="K35" s="72"/>
      <c r="L35" s="27">
        <v>24</v>
      </c>
      <c r="M35" s="27" t="s">
        <v>17</v>
      </c>
      <c r="N35" s="27"/>
      <c r="O35" s="27">
        <v>240</v>
      </c>
      <c r="P35" s="33">
        <f t="shared" si="1"/>
        <v>5760</v>
      </c>
      <c r="Q35" s="187"/>
      <c r="R35" s="435"/>
      <c r="S35" s="455" t="s">
        <v>826</v>
      </c>
    </row>
    <row r="36" spans="1:264" s="39" customFormat="1" ht="23.25" customHeight="1">
      <c r="A36" s="54"/>
      <c r="B36" s="139"/>
      <c r="C36" s="38"/>
      <c r="D36" s="36"/>
      <c r="E36" s="24"/>
      <c r="F36" s="36"/>
      <c r="G36" s="26"/>
      <c r="H36" s="72"/>
      <c r="I36" s="72"/>
      <c r="J36" s="72"/>
      <c r="K36" s="72"/>
      <c r="L36" s="27"/>
      <c r="M36" s="27"/>
      <c r="N36" s="27"/>
      <c r="O36" s="27"/>
      <c r="P36" s="33"/>
      <c r="Q36" s="187"/>
      <c r="R36" s="188"/>
      <c r="S36" s="1569" t="s">
        <v>825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</row>
    <row r="37" spans="1:264" s="39" customFormat="1" ht="37.5" customHeight="1">
      <c r="A37" s="54"/>
      <c r="B37" s="139"/>
      <c r="C37" s="14" t="s">
        <v>53</v>
      </c>
      <c r="D37" s="36"/>
      <c r="E37" s="14"/>
      <c r="F37" s="36"/>
      <c r="G37" s="42"/>
      <c r="H37" s="72"/>
      <c r="I37" s="72"/>
      <c r="J37" s="72"/>
      <c r="K37" s="72"/>
      <c r="L37" s="36"/>
      <c r="M37" s="36"/>
      <c r="N37" s="36"/>
      <c r="O37" s="36"/>
      <c r="P37" s="35">
        <f>SUM(P38:P44)</f>
        <v>552400</v>
      </c>
      <c r="Q37" s="187"/>
      <c r="R37" s="188"/>
      <c r="S37" s="1569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</row>
    <row r="38" spans="1:264" s="39" customFormat="1" ht="21.75" customHeight="1">
      <c r="A38" s="54"/>
      <c r="B38" s="139"/>
      <c r="C38" s="38" t="s">
        <v>62</v>
      </c>
      <c r="D38" s="36"/>
      <c r="E38" s="24"/>
      <c r="F38" s="36"/>
      <c r="G38" s="26"/>
      <c r="H38" s="72"/>
      <c r="I38" s="72"/>
      <c r="J38" s="72"/>
      <c r="K38" s="72"/>
      <c r="L38" s="27">
        <v>500</v>
      </c>
      <c r="M38" s="27" t="s">
        <v>17</v>
      </c>
      <c r="N38" s="27"/>
      <c r="O38" s="27">
        <v>600</v>
      </c>
      <c r="P38" s="33">
        <f t="shared" ref="P38:P44" si="2">L38*O38</f>
        <v>300000</v>
      </c>
      <c r="Q38" s="428"/>
      <c r="R38" s="428"/>
      <c r="S38" s="1569" t="s">
        <v>824</v>
      </c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</row>
    <row r="39" spans="1:264" s="39" customFormat="1" ht="21.75" customHeight="1">
      <c r="A39" s="54"/>
      <c r="B39" s="139"/>
      <c r="C39" s="38" t="s">
        <v>72</v>
      </c>
      <c r="D39" s="36"/>
      <c r="E39" s="24"/>
      <c r="F39" s="36"/>
      <c r="G39" s="26"/>
      <c r="H39" s="72"/>
      <c r="I39" s="72"/>
      <c r="J39" s="72"/>
      <c r="K39" s="72"/>
      <c r="L39" s="27">
        <v>5</v>
      </c>
      <c r="M39" s="27" t="s">
        <v>18</v>
      </c>
      <c r="N39" s="27"/>
      <c r="O39" s="27">
        <v>15000</v>
      </c>
      <c r="P39" s="33">
        <f t="shared" si="2"/>
        <v>75000</v>
      </c>
      <c r="Q39" s="429"/>
      <c r="R39" s="429"/>
      <c r="S39" s="1569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</row>
    <row r="40" spans="1:264" s="39" customFormat="1" ht="21.75" customHeight="1">
      <c r="A40" s="54"/>
      <c r="B40" s="139"/>
      <c r="C40" s="38" t="s">
        <v>75</v>
      </c>
      <c r="D40" s="36"/>
      <c r="E40" s="24"/>
      <c r="F40" s="36"/>
      <c r="G40" s="26"/>
      <c r="H40" s="72"/>
      <c r="I40" s="72"/>
      <c r="J40" s="72"/>
      <c r="K40" s="72"/>
      <c r="L40" s="27">
        <v>250</v>
      </c>
      <c r="M40" s="27" t="s">
        <v>19</v>
      </c>
      <c r="N40" s="27"/>
      <c r="O40" s="27">
        <v>70</v>
      </c>
      <c r="P40" s="33">
        <f t="shared" si="2"/>
        <v>17500</v>
      </c>
      <c r="Q40" s="429"/>
      <c r="R40" s="429"/>
      <c r="S40" s="1569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</row>
    <row r="41" spans="1:264" s="39" customFormat="1" ht="21.75" customHeight="1">
      <c r="A41" s="54"/>
      <c r="B41" s="139"/>
      <c r="C41" s="38" t="s">
        <v>50</v>
      </c>
      <c r="D41" s="36"/>
      <c r="E41" s="24"/>
      <c r="F41" s="36"/>
      <c r="G41" s="26"/>
      <c r="H41" s="72"/>
      <c r="I41" s="72"/>
      <c r="J41" s="72"/>
      <c r="K41" s="72"/>
      <c r="L41" s="27">
        <v>60</v>
      </c>
      <c r="M41" s="27" t="s">
        <v>17</v>
      </c>
      <c r="N41" s="27"/>
      <c r="O41" s="27">
        <v>1200</v>
      </c>
      <c r="P41" s="33">
        <f t="shared" si="2"/>
        <v>72000</v>
      </c>
      <c r="Q41" s="429"/>
      <c r="R41" s="429"/>
      <c r="S41" s="1569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</row>
    <row r="42" spans="1:264" s="62" customFormat="1" ht="21.75" customHeight="1">
      <c r="A42" s="54"/>
      <c r="B42" s="139"/>
      <c r="C42" s="38" t="s">
        <v>51</v>
      </c>
      <c r="D42" s="36"/>
      <c r="E42" s="15"/>
      <c r="F42" s="36"/>
      <c r="G42" s="26"/>
      <c r="H42" s="72"/>
      <c r="I42" s="72"/>
      <c r="J42" s="72"/>
      <c r="K42" s="72"/>
      <c r="L42" s="27">
        <v>15</v>
      </c>
      <c r="M42" s="27" t="s">
        <v>33</v>
      </c>
      <c r="N42" s="27"/>
      <c r="O42" s="27">
        <v>2500</v>
      </c>
      <c r="P42" s="33">
        <f t="shared" si="2"/>
        <v>37500</v>
      </c>
      <c r="Q42" s="429"/>
      <c r="R42" s="429"/>
      <c r="S42" s="1569"/>
    </row>
    <row r="43" spans="1:264" s="39" customFormat="1" ht="21.75" customHeight="1">
      <c r="A43" s="54"/>
      <c r="B43" s="139"/>
      <c r="C43" s="38" t="s">
        <v>52</v>
      </c>
      <c r="D43" s="36"/>
      <c r="E43" s="15"/>
      <c r="F43" s="36"/>
      <c r="G43" s="26"/>
      <c r="H43" s="72"/>
      <c r="I43" s="72"/>
      <c r="J43" s="72"/>
      <c r="K43" s="72"/>
      <c r="L43" s="27">
        <v>30</v>
      </c>
      <c r="M43" s="27" t="s">
        <v>25</v>
      </c>
      <c r="N43" s="27"/>
      <c r="O43" s="27">
        <v>1200</v>
      </c>
      <c r="P43" s="33">
        <f t="shared" si="2"/>
        <v>36000</v>
      </c>
      <c r="Q43" s="428"/>
      <c r="R43" s="428"/>
      <c r="S43" s="1569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</row>
    <row r="44" spans="1:264" s="62" customFormat="1" ht="21.75" customHeight="1">
      <c r="A44" s="54"/>
      <c r="B44" s="54"/>
      <c r="C44" s="38" t="s">
        <v>38</v>
      </c>
      <c r="D44" s="36"/>
      <c r="E44" s="15"/>
      <c r="F44" s="36"/>
      <c r="G44" s="26"/>
      <c r="H44" s="72"/>
      <c r="I44" s="72"/>
      <c r="J44" s="72"/>
      <c r="K44" s="72"/>
      <c r="L44" s="27">
        <v>60</v>
      </c>
      <c r="M44" s="27" t="s">
        <v>17</v>
      </c>
      <c r="N44" s="27"/>
      <c r="O44" s="27">
        <v>240</v>
      </c>
      <c r="P44" s="33">
        <f t="shared" si="2"/>
        <v>14400</v>
      </c>
      <c r="Q44" s="428"/>
      <c r="R44" s="428"/>
      <c r="S44" s="1569"/>
    </row>
    <row r="45" spans="1:264" s="39" customFormat="1" ht="20.25" customHeight="1">
      <c r="A45" s="54"/>
      <c r="B45" s="139"/>
      <c r="C45" s="38"/>
      <c r="D45" s="36"/>
      <c r="E45" s="15"/>
      <c r="F45" s="36"/>
      <c r="G45" s="26"/>
      <c r="H45" s="72"/>
      <c r="I45" s="72"/>
      <c r="J45" s="72"/>
      <c r="K45" s="72"/>
      <c r="L45" s="27"/>
      <c r="M45" s="27"/>
      <c r="N45" s="27"/>
      <c r="O45" s="27"/>
      <c r="P45" s="33"/>
      <c r="Q45" s="429"/>
      <c r="R45" s="429"/>
      <c r="S45" s="1569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  <c r="IW45" s="41"/>
      <c r="IX45" s="41"/>
      <c r="IY45" s="41"/>
      <c r="IZ45" s="41"/>
      <c r="JA45" s="41"/>
      <c r="JB45" s="41"/>
      <c r="JC45" s="41"/>
      <c r="JD45" s="41"/>
    </row>
    <row r="46" spans="1:264" s="39" customFormat="1" ht="46.5" customHeight="1">
      <c r="A46" s="54"/>
      <c r="B46" s="139"/>
      <c r="C46" s="28" t="s">
        <v>39</v>
      </c>
      <c r="D46" s="36"/>
      <c r="E46" s="14"/>
      <c r="F46" s="36"/>
      <c r="G46" s="26"/>
      <c r="H46" s="72"/>
      <c r="I46" s="72"/>
      <c r="J46" s="72"/>
      <c r="K46" s="72"/>
      <c r="L46" s="26"/>
      <c r="M46" s="26"/>
      <c r="N46" s="26"/>
      <c r="O46" s="27"/>
      <c r="P46" s="51">
        <f>P47+P53</f>
        <v>9537000</v>
      </c>
      <c r="Q46" s="433"/>
      <c r="R46" s="428"/>
      <c r="S46" s="454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</row>
    <row r="47" spans="1:264" s="62" customFormat="1">
      <c r="A47" s="54"/>
      <c r="B47" s="139"/>
      <c r="C47" s="14" t="s">
        <v>42</v>
      </c>
      <c r="D47" s="36"/>
      <c r="E47" s="24"/>
      <c r="F47" s="36"/>
      <c r="G47" s="26"/>
      <c r="H47" s="72"/>
      <c r="I47" s="72"/>
      <c r="J47" s="72"/>
      <c r="K47" s="72"/>
      <c r="L47" s="27"/>
      <c r="M47" s="27"/>
      <c r="N47" s="27"/>
      <c r="O47" s="27"/>
      <c r="P47" s="35">
        <f>SUM(P48:P51)</f>
        <v>2097000</v>
      </c>
      <c r="Q47" s="428"/>
      <c r="R47" s="428"/>
      <c r="S47" s="61"/>
    </row>
    <row r="48" spans="1:264" s="62" customFormat="1" ht="21" customHeight="1">
      <c r="A48" s="54"/>
      <c r="B48" s="139"/>
      <c r="C48" s="38" t="s">
        <v>69</v>
      </c>
      <c r="D48" s="36"/>
      <c r="E48" s="24"/>
      <c r="F48" s="36"/>
      <c r="G48" s="26"/>
      <c r="H48" s="72"/>
      <c r="I48" s="72"/>
      <c r="J48" s="72"/>
      <c r="K48" s="72"/>
      <c r="L48" s="27">
        <v>270</v>
      </c>
      <c r="M48" s="27" t="s">
        <v>33</v>
      </c>
      <c r="N48" s="27"/>
      <c r="O48" s="27">
        <v>2500</v>
      </c>
      <c r="P48" s="33">
        <f>L48*O48</f>
        <v>675000</v>
      </c>
      <c r="Q48" s="429"/>
      <c r="R48" s="429"/>
      <c r="S48" s="456"/>
    </row>
    <row r="49" spans="1:21" s="62" customFormat="1" ht="21" customHeight="1">
      <c r="A49" s="54"/>
      <c r="B49" s="139"/>
      <c r="C49" s="38" t="s">
        <v>70</v>
      </c>
      <c r="D49" s="36"/>
      <c r="E49" s="24"/>
      <c r="F49" s="36"/>
      <c r="G49" s="26"/>
      <c r="H49" s="72"/>
      <c r="I49" s="72"/>
      <c r="J49" s="72"/>
      <c r="K49" s="72"/>
      <c r="L49" s="27">
        <v>140</v>
      </c>
      <c r="M49" s="27" t="s">
        <v>40</v>
      </c>
      <c r="N49" s="27"/>
      <c r="O49" s="27">
        <v>5000</v>
      </c>
      <c r="P49" s="33">
        <f>L49*O49</f>
        <v>700000</v>
      </c>
      <c r="Q49" s="188"/>
      <c r="R49" s="188"/>
      <c r="S49" s="457"/>
    </row>
    <row r="50" spans="1:21" s="62" customFormat="1" ht="21" customHeight="1">
      <c r="A50" s="54"/>
      <c r="B50" s="139"/>
      <c r="C50" s="38" t="s">
        <v>64</v>
      </c>
      <c r="D50" s="36"/>
      <c r="E50" s="24"/>
      <c r="F50" s="36"/>
      <c r="G50" s="26"/>
      <c r="H50" s="72"/>
      <c r="I50" s="72"/>
      <c r="J50" s="72"/>
      <c r="K50" s="72"/>
      <c r="L50" s="27">
        <v>960</v>
      </c>
      <c r="M50" s="27" t="s">
        <v>41</v>
      </c>
      <c r="N50" s="27"/>
      <c r="O50" s="27">
        <v>750</v>
      </c>
      <c r="P50" s="33">
        <f>L50*O50</f>
        <v>720000</v>
      </c>
      <c r="Q50" s="188"/>
      <c r="R50" s="188"/>
      <c r="S50" s="457"/>
    </row>
    <row r="51" spans="1:21" s="62" customFormat="1" ht="21" customHeight="1">
      <c r="A51" s="54"/>
      <c r="B51" s="139"/>
      <c r="C51" s="38" t="s">
        <v>43</v>
      </c>
      <c r="D51" s="36"/>
      <c r="E51" s="24"/>
      <c r="F51" s="36"/>
      <c r="G51" s="26"/>
      <c r="H51" s="72"/>
      <c r="I51" s="72"/>
      <c r="J51" s="72"/>
      <c r="K51" s="72"/>
      <c r="L51" s="27">
        <v>8</v>
      </c>
      <c r="M51" s="27" t="s">
        <v>19</v>
      </c>
      <c r="N51" s="27"/>
      <c r="O51" s="27">
        <v>250</v>
      </c>
      <c r="P51" s="33">
        <f>L51*O51</f>
        <v>2000</v>
      </c>
      <c r="Q51" s="188"/>
      <c r="R51" s="188"/>
      <c r="S51" s="457"/>
    </row>
    <row r="52" spans="1:21" s="62" customFormat="1">
      <c r="A52" s="54"/>
      <c r="B52" s="139"/>
      <c r="C52" s="38"/>
      <c r="D52" s="36"/>
      <c r="E52" s="24"/>
      <c r="F52" s="36"/>
      <c r="G52" s="26"/>
      <c r="H52" s="72"/>
      <c r="I52" s="72"/>
      <c r="J52" s="72"/>
      <c r="K52" s="72"/>
      <c r="L52" s="27"/>
      <c r="M52" s="27"/>
      <c r="N52" s="27"/>
      <c r="O52" s="27"/>
      <c r="P52" s="33"/>
      <c r="Q52" s="188"/>
      <c r="R52" s="188"/>
      <c r="S52" s="457"/>
    </row>
    <row r="53" spans="1:21" s="62" customFormat="1">
      <c r="A53" s="54"/>
      <c r="B53" s="139"/>
      <c r="C53" s="14" t="s">
        <v>44</v>
      </c>
      <c r="D53" s="36"/>
      <c r="E53" s="24"/>
      <c r="F53" s="36"/>
      <c r="G53" s="26"/>
      <c r="H53" s="72"/>
      <c r="I53" s="72"/>
      <c r="J53" s="72"/>
      <c r="K53" s="72"/>
      <c r="L53" s="27"/>
      <c r="M53" s="27"/>
      <c r="N53" s="27"/>
      <c r="O53" s="27"/>
      <c r="P53" s="35">
        <f>SUM(P54:P55)</f>
        <v>7440000</v>
      </c>
      <c r="Q53" s="188"/>
      <c r="R53" s="188"/>
      <c r="S53" s="457"/>
    </row>
    <row r="54" spans="1:21" s="62" customFormat="1">
      <c r="A54" s="54"/>
      <c r="B54" s="54"/>
      <c r="C54" s="38" t="s">
        <v>45</v>
      </c>
      <c r="D54" s="36"/>
      <c r="E54" s="24"/>
      <c r="F54" s="36"/>
      <c r="G54" s="26"/>
      <c r="H54" s="72"/>
      <c r="I54" s="72"/>
      <c r="J54" s="72"/>
      <c r="K54" s="72"/>
      <c r="L54" s="27">
        <v>2000</v>
      </c>
      <c r="M54" s="45" t="s">
        <v>20</v>
      </c>
      <c r="N54" s="27"/>
      <c r="O54" s="27">
        <v>3600</v>
      </c>
      <c r="P54" s="33">
        <f>L54*O54</f>
        <v>7200000</v>
      </c>
      <c r="Q54" s="430"/>
      <c r="R54" s="430"/>
      <c r="S54" s="457"/>
    </row>
    <row r="55" spans="1:21" s="62" customFormat="1" ht="43.5">
      <c r="A55" s="54"/>
      <c r="B55" s="139"/>
      <c r="C55" s="38" t="s">
        <v>61</v>
      </c>
      <c r="D55" s="36"/>
      <c r="E55" s="24"/>
      <c r="F55" s="36"/>
      <c r="G55" s="26"/>
      <c r="H55" s="72"/>
      <c r="I55" s="72"/>
      <c r="J55" s="72"/>
      <c r="K55" s="72"/>
      <c r="L55" s="27">
        <v>100</v>
      </c>
      <c r="M55" s="27" t="s">
        <v>17</v>
      </c>
      <c r="N55" s="27"/>
      <c r="O55" s="27">
        <v>2400</v>
      </c>
      <c r="P55" s="33">
        <f>L55*O55</f>
        <v>240000</v>
      </c>
      <c r="Q55" s="436"/>
      <c r="R55" s="436"/>
      <c r="S55" s="457"/>
    </row>
    <row r="56" spans="1:21" s="62" customFormat="1">
      <c r="A56" s="54"/>
      <c r="B56" s="139"/>
      <c r="C56" s="38"/>
      <c r="D56" s="36"/>
      <c r="E56" s="24"/>
      <c r="F56" s="36"/>
      <c r="G56" s="26"/>
      <c r="H56" s="72"/>
      <c r="I56" s="72"/>
      <c r="J56" s="72"/>
      <c r="K56" s="72"/>
      <c r="L56" s="27"/>
      <c r="M56" s="45"/>
      <c r="N56" s="27"/>
      <c r="O56" s="27"/>
      <c r="P56" s="33"/>
      <c r="Q56" s="430"/>
      <c r="R56" s="430"/>
      <c r="S56" s="457"/>
    </row>
    <row r="57" spans="1:21" s="62" customFormat="1" ht="37.5">
      <c r="A57" s="54"/>
      <c r="B57" s="139"/>
      <c r="C57" s="53" t="s">
        <v>54</v>
      </c>
      <c r="D57" s="58"/>
      <c r="E57" s="58"/>
      <c r="F57" s="58"/>
      <c r="G57" s="58"/>
      <c r="H57" s="72"/>
      <c r="I57" s="72"/>
      <c r="J57" s="72"/>
      <c r="K57" s="72"/>
      <c r="L57" s="59"/>
      <c r="M57" s="59"/>
      <c r="N57" s="59"/>
      <c r="O57" s="60"/>
      <c r="P57" s="51">
        <f>SUM(P58:P64)</f>
        <v>334840</v>
      </c>
      <c r="Q57" s="428"/>
      <c r="R57" s="428"/>
      <c r="S57" s="66"/>
    </row>
    <row r="58" spans="1:21" s="62" customFormat="1">
      <c r="A58" s="54"/>
      <c r="B58" s="139"/>
      <c r="C58" s="38" t="s">
        <v>55</v>
      </c>
      <c r="D58" s="36"/>
      <c r="E58" s="24"/>
      <c r="F58" s="36"/>
      <c r="G58" s="26"/>
      <c r="H58" s="72"/>
      <c r="I58" s="72"/>
      <c r="J58" s="72"/>
      <c r="K58" s="72"/>
      <c r="L58" s="27">
        <v>600</v>
      </c>
      <c r="M58" s="27" t="s">
        <v>46</v>
      </c>
      <c r="N58" s="27"/>
      <c r="O58" s="27">
        <v>450</v>
      </c>
      <c r="P58" s="33">
        <f t="shared" ref="P58:P63" si="3">L58*O58</f>
        <v>270000</v>
      </c>
      <c r="Q58" s="188"/>
      <c r="R58" s="188"/>
      <c r="S58" s="66"/>
    </row>
    <row r="59" spans="1:21" s="62" customFormat="1">
      <c r="A59" s="54"/>
      <c r="B59" s="139"/>
      <c r="C59" s="38" t="s">
        <v>56</v>
      </c>
      <c r="D59" s="36"/>
      <c r="E59" s="24"/>
      <c r="F59" s="36"/>
      <c r="G59" s="26"/>
      <c r="H59" s="72"/>
      <c r="I59" s="72"/>
      <c r="J59" s="72"/>
      <c r="K59" s="72"/>
      <c r="L59" s="27">
        <v>350</v>
      </c>
      <c r="M59" s="27" t="s">
        <v>19</v>
      </c>
      <c r="N59" s="27"/>
      <c r="O59" s="27">
        <v>10</v>
      </c>
      <c r="P59" s="33">
        <f t="shared" si="3"/>
        <v>3500</v>
      </c>
      <c r="Q59" s="188"/>
      <c r="R59" s="188"/>
      <c r="S59" s="67"/>
    </row>
    <row r="60" spans="1:21" s="62" customFormat="1" ht="43.5">
      <c r="A60" s="54"/>
      <c r="B60" s="139"/>
      <c r="C60" s="38" t="s">
        <v>57</v>
      </c>
      <c r="D60" s="36"/>
      <c r="E60" s="24"/>
      <c r="F60" s="36"/>
      <c r="G60" s="26"/>
      <c r="H60" s="72"/>
      <c r="I60" s="72"/>
      <c r="J60" s="72"/>
      <c r="K60" s="72"/>
      <c r="L60" s="27">
        <v>350</v>
      </c>
      <c r="M60" s="27" t="s">
        <v>19</v>
      </c>
      <c r="N60" s="27"/>
      <c r="O60" s="27">
        <v>10</v>
      </c>
      <c r="P60" s="33">
        <f t="shared" si="3"/>
        <v>3500</v>
      </c>
      <c r="Q60" s="184"/>
      <c r="R60" s="184"/>
      <c r="S60" s="61"/>
    </row>
    <row r="61" spans="1:21" s="62" customFormat="1">
      <c r="A61" s="54"/>
      <c r="B61" s="139"/>
      <c r="C61" s="38" t="s">
        <v>58</v>
      </c>
      <c r="D61" s="36"/>
      <c r="E61" s="24"/>
      <c r="F61" s="36"/>
      <c r="G61" s="26"/>
      <c r="H61" s="72"/>
      <c r="I61" s="72"/>
      <c r="J61" s="72"/>
      <c r="K61" s="72"/>
      <c r="L61" s="27">
        <v>500</v>
      </c>
      <c r="M61" s="27" t="s">
        <v>47</v>
      </c>
      <c r="N61" s="27"/>
      <c r="O61" s="27">
        <v>2.13</v>
      </c>
      <c r="P61" s="33">
        <f t="shared" si="3"/>
        <v>1065</v>
      </c>
      <c r="Q61" s="176"/>
      <c r="R61" s="175"/>
      <c r="S61" s="61"/>
    </row>
    <row r="62" spans="1:21" s="62" customFormat="1">
      <c r="A62" s="54"/>
      <c r="B62" s="139"/>
      <c r="C62" s="38" t="s">
        <v>59</v>
      </c>
      <c r="D62" s="36"/>
      <c r="E62" s="24"/>
      <c r="F62" s="36"/>
      <c r="G62" s="26"/>
      <c r="H62" s="72"/>
      <c r="I62" s="72"/>
      <c r="J62" s="72"/>
      <c r="K62" s="72"/>
      <c r="L62" s="27">
        <v>200</v>
      </c>
      <c r="M62" s="27" t="s">
        <v>47</v>
      </c>
      <c r="N62" s="27"/>
      <c r="O62" s="27">
        <v>6</v>
      </c>
      <c r="P62" s="33">
        <f t="shared" si="3"/>
        <v>1200</v>
      </c>
      <c r="Q62" s="188"/>
      <c r="R62" s="188"/>
      <c r="S62" s="61"/>
    </row>
    <row r="63" spans="1:21" s="62" customFormat="1">
      <c r="A63" s="54"/>
      <c r="B63" s="139"/>
      <c r="C63" s="38" t="s">
        <v>60</v>
      </c>
      <c r="D63" s="36"/>
      <c r="E63" s="24"/>
      <c r="F63" s="36"/>
      <c r="G63" s="26"/>
      <c r="H63" s="72"/>
      <c r="I63" s="72"/>
      <c r="J63" s="72"/>
      <c r="K63" s="72"/>
      <c r="L63" s="27">
        <v>100</v>
      </c>
      <c r="M63" s="27" t="s">
        <v>47</v>
      </c>
      <c r="N63" s="27"/>
      <c r="O63" s="27">
        <v>200</v>
      </c>
      <c r="P63" s="33">
        <f t="shared" si="3"/>
        <v>20000</v>
      </c>
      <c r="Q63" s="188"/>
      <c r="R63" s="188"/>
      <c r="S63" s="61"/>
    </row>
    <row r="64" spans="1:21" s="62" customFormat="1" ht="43.5">
      <c r="A64" s="54"/>
      <c r="B64" s="139"/>
      <c r="C64" s="38" t="s">
        <v>73</v>
      </c>
      <c r="D64" s="36"/>
      <c r="E64" s="24"/>
      <c r="F64" s="36"/>
      <c r="G64" s="26"/>
      <c r="H64" s="72"/>
      <c r="I64" s="72"/>
      <c r="J64" s="72"/>
      <c r="K64" s="72"/>
      <c r="L64" s="27"/>
      <c r="M64" s="27"/>
      <c r="N64" s="27"/>
      <c r="O64" s="27" t="s">
        <v>48</v>
      </c>
      <c r="P64" s="33">
        <v>35575</v>
      </c>
      <c r="Q64" s="194"/>
      <c r="R64" s="188"/>
      <c r="S64" s="64"/>
      <c r="U64" s="65"/>
    </row>
    <row r="65" spans="1:20" s="62" customFormat="1">
      <c r="A65" s="54"/>
      <c r="B65" s="139"/>
      <c r="C65" s="38"/>
      <c r="D65" s="36"/>
      <c r="E65" s="24"/>
      <c r="F65" s="36"/>
      <c r="G65" s="26"/>
      <c r="H65" s="72"/>
      <c r="I65" s="72"/>
      <c r="J65" s="72"/>
      <c r="K65" s="72"/>
      <c r="L65" s="27"/>
      <c r="M65" s="45"/>
      <c r="N65" s="27"/>
      <c r="O65" s="27"/>
      <c r="P65" s="33"/>
      <c r="Q65" s="176"/>
      <c r="R65" s="176"/>
      <c r="S65" s="61"/>
    </row>
    <row r="66" spans="1:20" s="47" customFormat="1" ht="18" customHeight="1">
      <c r="A66" s="54"/>
      <c r="B66" s="139"/>
      <c r="C66" s="53" t="s">
        <v>27</v>
      </c>
      <c r="D66" s="56"/>
      <c r="E66" s="44"/>
      <c r="F66" s="56"/>
      <c r="G66" s="44"/>
      <c r="H66" s="72"/>
      <c r="I66" s="72"/>
      <c r="J66" s="72"/>
      <c r="K66" s="72"/>
      <c r="L66" s="45"/>
      <c r="M66" s="45"/>
      <c r="N66" s="45"/>
      <c r="O66" s="46"/>
      <c r="P66" s="51">
        <f>SUM(P67:P70)</f>
        <v>22400</v>
      </c>
      <c r="Q66" s="188"/>
      <c r="R66" s="188"/>
      <c r="S66" s="24"/>
    </row>
    <row r="67" spans="1:20" s="47" customFormat="1" ht="18" customHeight="1">
      <c r="A67" s="54"/>
      <c r="B67" s="139"/>
      <c r="C67" s="50" t="s">
        <v>22</v>
      </c>
      <c r="D67" s="56"/>
      <c r="E67" s="44"/>
      <c r="F67" s="56"/>
      <c r="G67" s="44"/>
      <c r="H67" s="72"/>
      <c r="I67" s="72"/>
      <c r="J67" s="72"/>
      <c r="K67" s="72"/>
      <c r="L67" s="45">
        <v>8</v>
      </c>
      <c r="M67" s="45" t="s">
        <v>20</v>
      </c>
      <c r="N67" s="45"/>
      <c r="O67" s="46">
        <v>500</v>
      </c>
      <c r="P67" s="33">
        <f>L67*O67</f>
        <v>4000</v>
      </c>
      <c r="Q67" s="188"/>
      <c r="R67" s="188"/>
      <c r="S67" s="24"/>
    </row>
    <row r="68" spans="1:20" s="47" customFormat="1" ht="18" customHeight="1">
      <c r="A68" s="54"/>
      <c r="B68" s="139"/>
      <c r="C68" s="50" t="s">
        <v>23</v>
      </c>
      <c r="D68" s="56"/>
      <c r="E68" s="44"/>
      <c r="F68" s="56"/>
      <c r="G68" s="44"/>
      <c r="H68" s="72"/>
      <c r="I68" s="72"/>
      <c r="J68" s="72"/>
      <c r="K68" s="72"/>
      <c r="L68" s="45">
        <v>8</v>
      </c>
      <c r="M68" s="45" t="s">
        <v>20</v>
      </c>
      <c r="N68" s="45"/>
      <c r="O68" s="46">
        <v>500</v>
      </c>
      <c r="P68" s="33">
        <f>L68*O68</f>
        <v>4000</v>
      </c>
      <c r="Q68" s="184"/>
      <c r="R68" s="184"/>
      <c r="S68" s="24"/>
    </row>
    <row r="69" spans="1:20" s="47" customFormat="1" ht="18" customHeight="1">
      <c r="A69" s="54"/>
      <c r="B69" s="139"/>
      <c r="C69" s="50" t="s">
        <v>24</v>
      </c>
      <c r="D69" s="56"/>
      <c r="E69" s="44"/>
      <c r="F69" s="56"/>
      <c r="G69" s="44"/>
      <c r="H69" s="72"/>
      <c r="I69" s="72"/>
      <c r="J69" s="72"/>
      <c r="K69" s="72"/>
      <c r="L69" s="45">
        <v>8</v>
      </c>
      <c r="M69" s="45" t="s">
        <v>20</v>
      </c>
      <c r="N69" s="45"/>
      <c r="O69" s="46">
        <v>800</v>
      </c>
      <c r="P69" s="33">
        <f>L69*O69</f>
        <v>6400</v>
      </c>
      <c r="Q69" s="187"/>
      <c r="R69" s="197"/>
      <c r="S69" s="24"/>
    </row>
    <row r="70" spans="1:20" s="47" customFormat="1" ht="18" customHeight="1">
      <c r="A70" s="54"/>
      <c r="B70" s="54"/>
      <c r="C70" s="50" t="s">
        <v>21</v>
      </c>
      <c r="D70" s="56"/>
      <c r="E70" s="44"/>
      <c r="F70" s="56"/>
      <c r="G70" s="44"/>
      <c r="H70" s="72"/>
      <c r="I70" s="72"/>
      <c r="J70" s="72"/>
      <c r="K70" s="72"/>
      <c r="L70" s="45">
        <v>8</v>
      </c>
      <c r="M70" s="45" t="s">
        <v>20</v>
      </c>
      <c r="N70" s="45"/>
      <c r="O70" s="46">
        <v>1000</v>
      </c>
      <c r="P70" s="33">
        <f>L70*O70</f>
        <v>8000</v>
      </c>
      <c r="Q70" s="188"/>
      <c r="R70" s="188"/>
      <c r="S70" s="24"/>
    </row>
    <row r="71" spans="1:20" s="39" customFormat="1" ht="18" customHeight="1">
      <c r="D71" s="464"/>
      <c r="E71" s="156"/>
      <c r="F71" s="464"/>
      <c r="G71" s="156"/>
      <c r="H71" s="1"/>
      <c r="I71" s="1"/>
      <c r="J71" s="1"/>
      <c r="K71" s="1"/>
      <c r="M71" s="80"/>
      <c r="Q71" s="30"/>
      <c r="R71" s="30"/>
      <c r="S71" s="463"/>
      <c r="T71" s="48"/>
    </row>
    <row r="72" spans="1:20">
      <c r="H72" s="459"/>
      <c r="I72" s="459"/>
      <c r="J72" s="459"/>
      <c r="K72" s="459"/>
      <c r="Q72" s="460"/>
      <c r="R72" s="461"/>
    </row>
    <row r="73" spans="1:20">
      <c r="H73" s="459"/>
      <c r="I73" s="459"/>
      <c r="J73" s="459"/>
      <c r="K73" s="459"/>
      <c r="Q73" s="30"/>
      <c r="R73" s="30"/>
    </row>
    <row r="74" spans="1:20">
      <c r="H74" s="459"/>
      <c r="I74" s="459"/>
      <c r="J74" s="459"/>
      <c r="K74" s="459"/>
      <c r="Q74" s="30"/>
      <c r="R74" s="30"/>
    </row>
    <row r="75" spans="1:20">
      <c r="H75" s="459"/>
      <c r="I75" s="459"/>
      <c r="J75" s="459"/>
      <c r="K75" s="459"/>
      <c r="Q75" s="30"/>
      <c r="R75" s="30"/>
    </row>
    <row r="76" spans="1:20">
      <c r="H76" s="459"/>
      <c r="I76" s="459"/>
      <c r="J76" s="459"/>
      <c r="K76" s="459"/>
      <c r="Q76" s="30"/>
      <c r="R76" s="30"/>
    </row>
    <row r="77" spans="1:20">
      <c r="H77" s="459"/>
      <c r="I77" s="459"/>
      <c r="J77" s="459"/>
      <c r="K77" s="459"/>
      <c r="Q77" s="461"/>
      <c r="R77" s="461"/>
    </row>
    <row r="78" spans="1:20">
      <c r="H78" s="459"/>
      <c r="I78" s="459"/>
      <c r="J78" s="459"/>
      <c r="K78" s="459"/>
      <c r="Q78" s="461"/>
      <c r="R78" s="461"/>
    </row>
    <row r="79" spans="1:20">
      <c r="H79" s="459"/>
      <c r="I79" s="459"/>
      <c r="J79" s="459"/>
      <c r="K79" s="459"/>
      <c r="Q79" s="462"/>
      <c r="R79" s="462"/>
    </row>
    <row r="80" spans="1:20">
      <c r="H80" s="459"/>
      <c r="I80" s="459"/>
      <c r="J80" s="459"/>
      <c r="K80" s="459"/>
    </row>
    <row r="81" spans="8:11">
      <c r="H81" s="459"/>
      <c r="I81" s="459"/>
      <c r="J81" s="459"/>
      <c r="K81" s="459"/>
    </row>
  </sheetData>
  <mergeCells count="20">
    <mergeCell ref="A1:S1"/>
    <mergeCell ref="I7:K7"/>
    <mergeCell ref="H6:P6"/>
    <mergeCell ref="L7:L8"/>
    <mergeCell ref="M7:M8"/>
    <mergeCell ref="N7:N8"/>
    <mergeCell ref="O7:O8"/>
    <mergeCell ref="P7:P8"/>
    <mergeCell ref="Q6:Q8"/>
    <mergeCell ref="R6:R8"/>
    <mergeCell ref="A6:B7"/>
    <mergeCell ref="C6:C7"/>
    <mergeCell ref="F6:G6"/>
    <mergeCell ref="S6:S7"/>
    <mergeCell ref="D6:E6"/>
    <mergeCell ref="S36:S37"/>
    <mergeCell ref="S16:S26"/>
    <mergeCell ref="S27:S30"/>
    <mergeCell ref="A2:S2"/>
    <mergeCell ref="S38:S45"/>
  </mergeCells>
  <pageMargins left="0.31496062992125984" right="0.31496062992125984" top="0.74803149606299213" bottom="0.55118110236220474" header="0.31496062992125984" footer="0.31496062992125984"/>
  <pageSetup paperSize="9" scale="70" fitToHeight="0" orientation="landscape" r:id="rId1"/>
  <headerFooter>
    <oddFooter>&amp;C&amp;P/3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86"/>
  <sheetViews>
    <sheetView topLeftCell="A19" zoomScale="120" zoomScaleNormal="120" zoomScaleSheetLayoutView="80" workbookViewId="0">
      <selection activeCell="G32" sqref="G32"/>
    </sheetView>
  </sheetViews>
  <sheetFormatPr defaultRowHeight="18.75"/>
  <cols>
    <col min="1" max="1" width="4.125" style="286" customWidth="1"/>
    <col min="2" max="2" width="4.625" style="286" customWidth="1"/>
    <col min="3" max="3" width="37.625" style="286" customWidth="1"/>
    <col min="4" max="7" width="6.875" style="286" customWidth="1"/>
    <col min="8" max="8" width="8" style="286" customWidth="1"/>
    <col min="9" max="11" width="5.875" style="286" customWidth="1"/>
    <col min="12" max="12" width="7.375" style="286" customWidth="1"/>
    <col min="13" max="13" width="8" style="286" customWidth="1"/>
    <col min="14" max="14" width="6.875" style="286" customWidth="1"/>
    <col min="15" max="15" width="8" style="286" customWidth="1"/>
    <col min="16" max="16" width="10.125" style="286" customWidth="1"/>
    <col min="17" max="17" width="5.875" style="286" customWidth="1"/>
    <col min="18" max="18" width="7.625" style="286" customWidth="1"/>
    <col min="19" max="19" width="21.625" style="269" customWidth="1"/>
    <col min="20" max="20" width="14.125" style="286" bestFit="1" customWidth="1"/>
    <col min="21" max="21" width="8.75" style="286" bestFit="1" customWidth="1"/>
    <col min="22" max="264" width="9" style="286"/>
    <col min="265" max="265" width="29" style="286" customWidth="1"/>
    <col min="266" max="268" width="9.25" style="286" customWidth="1"/>
    <col min="269" max="269" width="10.375" style="286" customWidth="1"/>
    <col min="270" max="270" width="9.625" style="286" customWidth="1"/>
    <col min="271" max="271" width="9.25" style="286" customWidth="1"/>
    <col min="272" max="272" width="8.375" style="286" customWidth="1"/>
    <col min="273" max="273" width="10.375" style="286" customWidth="1"/>
    <col min="274" max="274" width="14.625" style="286" customWidth="1"/>
    <col min="275" max="275" width="28.375" style="286" customWidth="1"/>
    <col min="276" max="276" width="14.125" style="286" bestFit="1" customWidth="1"/>
    <col min="277" max="277" width="8.75" style="286" bestFit="1" customWidth="1"/>
    <col min="278" max="520" width="9" style="286"/>
    <col min="521" max="521" width="29" style="286" customWidth="1"/>
    <col min="522" max="524" width="9.25" style="286" customWidth="1"/>
    <col min="525" max="525" width="10.375" style="286" customWidth="1"/>
    <col min="526" max="526" width="9.625" style="286" customWidth="1"/>
    <col min="527" max="527" width="9.25" style="286" customWidth="1"/>
    <col min="528" max="528" width="8.375" style="286" customWidth="1"/>
    <col min="529" max="529" width="10.375" style="286" customWidth="1"/>
    <col min="530" max="530" width="14.625" style="286" customWidth="1"/>
    <col min="531" max="531" width="28.375" style="286" customWidth="1"/>
    <col min="532" max="532" width="14.125" style="286" bestFit="1" customWidth="1"/>
    <col min="533" max="533" width="8.75" style="286" bestFit="1" customWidth="1"/>
    <col min="534" max="776" width="9" style="286"/>
    <col min="777" max="777" width="29" style="286" customWidth="1"/>
    <col min="778" max="780" width="9.25" style="286" customWidth="1"/>
    <col min="781" max="781" width="10.375" style="286" customWidth="1"/>
    <col min="782" max="782" width="9.625" style="286" customWidth="1"/>
    <col min="783" max="783" width="9.25" style="286" customWidth="1"/>
    <col min="784" max="784" width="8.375" style="286" customWidth="1"/>
    <col min="785" max="785" width="10.375" style="286" customWidth="1"/>
    <col min="786" max="786" width="14.625" style="286" customWidth="1"/>
    <col min="787" max="787" width="28.375" style="286" customWidth="1"/>
    <col min="788" max="788" width="14.125" style="286" bestFit="1" customWidth="1"/>
    <col min="789" max="789" width="8.75" style="286" bestFit="1" customWidth="1"/>
    <col min="790" max="1032" width="9" style="286"/>
    <col min="1033" max="1033" width="29" style="286" customWidth="1"/>
    <col min="1034" max="1036" width="9.25" style="286" customWidth="1"/>
    <col min="1037" max="1037" width="10.375" style="286" customWidth="1"/>
    <col min="1038" max="1038" width="9.625" style="286" customWidth="1"/>
    <col min="1039" max="1039" width="9.25" style="286" customWidth="1"/>
    <col min="1040" max="1040" width="8.375" style="286" customWidth="1"/>
    <col min="1041" max="1041" width="10.375" style="286" customWidth="1"/>
    <col min="1042" max="1042" width="14.625" style="286" customWidth="1"/>
    <col min="1043" max="1043" width="28.375" style="286" customWidth="1"/>
    <col min="1044" max="1044" width="14.125" style="286" bestFit="1" customWidth="1"/>
    <col min="1045" max="1045" width="8.75" style="286" bestFit="1" customWidth="1"/>
    <col min="1046" max="1288" width="9" style="286"/>
    <col min="1289" max="1289" width="29" style="286" customWidth="1"/>
    <col min="1290" max="1292" width="9.25" style="286" customWidth="1"/>
    <col min="1293" max="1293" width="10.375" style="286" customWidth="1"/>
    <col min="1294" max="1294" width="9.625" style="286" customWidth="1"/>
    <col min="1295" max="1295" width="9.25" style="286" customWidth="1"/>
    <col min="1296" max="1296" width="8.375" style="286" customWidth="1"/>
    <col min="1297" max="1297" width="10.375" style="286" customWidth="1"/>
    <col min="1298" max="1298" width="14.625" style="286" customWidth="1"/>
    <col min="1299" max="1299" width="28.375" style="286" customWidth="1"/>
    <col min="1300" max="1300" width="14.125" style="286" bestFit="1" customWidth="1"/>
    <col min="1301" max="1301" width="8.75" style="286" bestFit="1" customWidth="1"/>
    <col min="1302" max="1544" width="9" style="286"/>
    <col min="1545" max="1545" width="29" style="286" customWidth="1"/>
    <col min="1546" max="1548" width="9.25" style="286" customWidth="1"/>
    <col min="1549" max="1549" width="10.375" style="286" customWidth="1"/>
    <col min="1550" max="1550" width="9.625" style="286" customWidth="1"/>
    <col min="1551" max="1551" width="9.25" style="286" customWidth="1"/>
    <col min="1552" max="1552" width="8.375" style="286" customWidth="1"/>
    <col min="1553" max="1553" width="10.375" style="286" customWidth="1"/>
    <col min="1554" max="1554" width="14.625" style="286" customWidth="1"/>
    <col min="1555" max="1555" width="28.375" style="286" customWidth="1"/>
    <col min="1556" max="1556" width="14.125" style="286" bestFit="1" customWidth="1"/>
    <col min="1557" max="1557" width="8.75" style="286" bestFit="1" customWidth="1"/>
    <col min="1558" max="1800" width="9" style="286"/>
    <col min="1801" max="1801" width="29" style="286" customWidth="1"/>
    <col min="1802" max="1804" width="9.25" style="286" customWidth="1"/>
    <col min="1805" max="1805" width="10.375" style="286" customWidth="1"/>
    <col min="1806" max="1806" width="9.625" style="286" customWidth="1"/>
    <col min="1807" max="1807" width="9.25" style="286" customWidth="1"/>
    <col min="1808" max="1808" width="8.375" style="286" customWidth="1"/>
    <col min="1809" max="1809" width="10.375" style="286" customWidth="1"/>
    <col min="1810" max="1810" width="14.625" style="286" customWidth="1"/>
    <col min="1811" max="1811" width="28.375" style="286" customWidth="1"/>
    <col min="1812" max="1812" width="14.125" style="286" bestFit="1" customWidth="1"/>
    <col min="1813" max="1813" width="8.75" style="286" bestFit="1" customWidth="1"/>
    <col min="1814" max="2056" width="9" style="286"/>
    <col min="2057" max="2057" width="29" style="286" customWidth="1"/>
    <col min="2058" max="2060" width="9.25" style="286" customWidth="1"/>
    <col min="2061" max="2061" width="10.375" style="286" customWidth="1"/>
    <col min="2062" max="2062" width="9.625" style="286" customWidth="1"/>
    <col min="2063" max="2063" width="9.25" style="286" customWidth="1"/>
    <col min="2064" max="2064" width="8.375" style="286" customWidth="1"/>
    <col min="2065" max="2065" width="10.375" style="286" customWidth="1"/>
    <col min="2066" max="2066" width="14.625" style="286" customWidth="1"/>
    <col min="2067" max="2067" width="28.375" style="286" customWidth="1"/>
    <col min="2068" max="2068" width="14.125" style="286" bestFit="1" customWidth="1"/>
    <col min="2069" max="2069" width="8.75" style="286" bestFit="1" customWidth="1"/>
    <col min="2070" max="2312" width="9" style="286"/>
    <col min="2313" max="2313" width="29" style="286" customWidth="1"/>
    <col min="2314" max="2316" width="9.25" style="286" customWidth="1"/>
    <col min="2317" max="2317" width="10.375" style="286" customWidth="1"/>
    <col min="2318" max="2318" width="9.625" style="286" customWidth="1"/>
    <col min="2319" max="2319" width="9.25" style="286" customWidth="1"/>
    <col min="2320" max="2320" width="8.375" style="286" customWidth="1"/>
    <col min="2321" max="2321" width="10.375" style="286" customWidth="1"/>
    <col min="2322" max="2322" width="14.625" style="286" customWidth="1"/>
    <col min="2323" max="2323" width="28.375" style="286" customWidth="1"/>
    <col min="2324" max="2324" width="14.125" style="286" bestFit="1" customWidth="1"/>
    <col min="2325" max="2325" width="8.75" style="286" bestFit="1" customWidth="1"/>
    <col min="2326" max="2568" width="9" style="286"/>
    <col min="2569" max="2569" width="29" style="286" customWidth="1"/>
    <col min="2570" max="2572" width="9.25" style="286" customWidth="1"/>
    <col min="2573" max="2573" width="10.375" style="286" customWidth="1"/>
    <col min="2574" max="2574" width="9.625" style="286" customWidth="1"/>
    <col min="2575" max="2575" width="9.25" style="286" customWidth="1"/>
    <col min="2576" max="2576" width="8.375" style="286" customWidth="1"/>
    <col min="2577" max="2577" width="10.375" style="286" customWidth="1"/>
    <col min="2578" max="2578" width="14.625" style="286" customWidth="1"/>
    <col min="2579" max="2579" width="28.375" style="286" customWidth="1"/>
    <col min="2580" max="2580" width="14.125" style="286" bestFit="1" customWidth="1"/>
    <col min="2581" max="2581" width="8.75" style="286" bestFit="1" customWidth="1"/>
    <col min="2582" max="2824" width="9" style="286"/>
    <col min="2825" max="2825" width="29" style="286" customWidth="1"/>
    <col min="2826" max="2828" width="9.25" style="286" customWidth="1"/>
    <col min="2829" max="2829" width="10.375" style="286" customWidth="1"/>
    <col min="2830" max="2830" width="9.625" style="286" customWidth="1"/>
    <col min="2831" max="2831" width="9.25" style="286" customWidth="1"/>
    <col min="2832" max="2832" width="8.375" style="286" customWidth="1"/>
    <col min="2833" max="2833" width="10.375" style="286" customWidth="1"/>
    <col min="2834" max="2834" width="14.625" style="286" customWidth="1"/>
    <col min="2835" max="2835" width="28.375" style="286" customWidth="1"/>
    <col min="2836" max="2836" width="14.125" style="286" bestFit="1" customWidth="1"/>
    <col min="2837" max="2837" width="8.75" style="286" bestFit="1" customWidth="1"/>
    <col min="2838" max="3080" width="9" style="286"/>
    <col min="3081" max="3081" width="29" style="286" customWidth="1"/>
    <col min="3082" max="3084" width="9.25" style="286" customWidth="1"/>
    <col min="3085" max="3085" width="10.375" style="286" customWidth="1"/>
    <col min="3086" max="3086" width="9.625" style="286" customWidth="1"/>
    <col min="3087" max="3087" width="9.25" style="286" customWidth="1"/>
    <col min="3088" max="3088" width="8.375" style="286" customWidth="1"/>
    <col min="3089" max="3089" width="10.375" style="286" customWidth="1"/>
    <col min="3090" max="3090" width="14.625" style="286" customWidth="1"/>
    <col min="3091" max="3091" width="28.375" style="286" customWidth="1"/>
    <col min="3092" max="3092" width="14.125" style="286" bestFit="1" customWidth="1"/>
    <col min="3093" max="3093" width="8.75" style="286" bestFit="1" customWidth="1"/>
    <col min="3094" max="3336" width="9" style="286"/>
    <col min="3337" max="3337" width="29" style="286" customWidth="1"/>
    <col min="3338" max="3340" width="9.25" style="286" customWidth="1"/>
    <col min="3341" max="3341" width="10.375" style="286" customWidth="1"/>
    <col min="3342" max="3342" width="9.625" style="286" customWidth="1"/>
    <col min="3343" max="3343" width="9.25" style="286" customWidth="1"/>
    <col min="3344" max="3344" width="8.375" style="286" customWidth="1"/>
    <col min="3345" max="3345" width="10.375" style="286" customWidth="1"/>
    <col min="3346" max="3346" width="14.625" style="286" customWidth="1"/>
    <col min="3347" max="3347" width="28.375" style="286" customWidth="1"/>
    <col min="3348" max="3348" width="14.125" style="286" bestFit="1" customWidth="1"/>
    <col min="3349" max="3349" width="8.75" style="286" bestFit="1" customWidth="1"/>
    <col min="3350" max="3592" width="9" style="286"/>
    <col min="3593" max="3593" width="29" style="286" customWidth="1"/>
    <col min="3594" max="3596" width="9.25" style="286" customWidth="1"/>
    <col min="3597" max="3597" width="10.375" style="286" customWidth="1"/>
    <col min="3598" max="3598" width="9.625" style="286" customWidth="1"/>
    <col min="3599" max="3599" width="9.25" style="286" customWidth="1"/>
    <col min="3600" max="3600" width="8.375" style="286" customWidth="1"/>
    <col min="3601" max="3601" width="10.375" style="286" customWidth="1"/>
    <col min="3602" max="3602" width="14.625" style="286" customWidth="1"/>
    <col min="3603" max="3603" width="28.375" style="286" customWidth="1"/>
    <col min="3604" max="3604" width="14.125" style="286" bestFit="1" customWidth="1"/>
    <col min="3605" max="3605" width="8.75" style="286" bestFit="1" customWidth="1"/>
    <col min="3606" max="3848" width="9" style="286"/>
    <col min="3849" max="3849" width="29" style="286" customWidth="1"/>
    <col min="3850" max="3852" width="9.25" style="286" customWidth="1"/>
    <col min="3853" max="3853" width="10.375" style="286" customWidth="1"/>
    <col min="3854" max="3854" width="9.625" style="286" customWidth="1"/>
    <col min="3855" max="3855" width="9.25" style="286" customWidth="1"/>
    <col min="3856" max="3856" width="8.375" style="286" customWidth="1"/>
    <col min="3857" max="3857" width="10.375" style="286" customWidth="1"/>
    <col min="3858" max="3858" width="14.625" style="286" customWidth="1"/>
    <col min="3859" max="3859" width="28.375" style="286" customWidth="1"/>
    <col min="3860" max="3860" width="14.125" style="286" bestFit="1" customWidth="1"/>
    <col min="3861" max="3861" width="8.75" style="286" bestFit="1" customWidth="1"/>
    <col min="3862" max="4104" width="9" style="286"/>
    <col min="4105" max="4105" width="29" style="286" customWidth="1"/>
    <col min="4106" max="4108" width="9.25" style="286" customWidth="1"/>
    <col min="4109" max="4109" width="10.375" style="286" customWidth="1"/>
    <col min="4110" max="4110" width="9.625" style="286" customWidth="1"/>
    <col min="4111" max="4111" width="9.25" style="286" customWidth="1"/>
    <col min="4112" max="4112" width="8.375" style="286" customWidth="1"/>
    <col min="4113" max="4113" width="10.375" style="286" customWidth="1"/>
    <col min="4114" max="4114" width="14.625" style="286" customWidth="1"/>
    <col min="4115" max="4115" width="28.375" style="286" customWidth="1"/>
    <col min="4116" max="4116" width="14.125" style="286" bestFit="1" customWidth="1"/>
    <col min="4117" max="4117" width="8.75" style="286" bestFit="1" customWidth="1"/>
    <col min="4118" max="4360" width="9" style="286"/>
    <col min="4361" max="4361" width="29" style="286" customWidth="1"/>
    <col min="4362" max="4364" width="9.25" style="286" customWidth="1"/>
    <col min="4365" max="4365" width="10.375" style="286" customWidth="1"/>
    <col min="4366" max="4366" width="9.625" style="286" customWidth="1"/>
    <col min="4367" max="4367" width="9.25" style="286" customWidth="1"/>
    <col min="4368" max="4368" width="8.375" style="286" customWidth="1"/>
    <col min="4369" max="4369" width="10.375" style="286" customWidth="1"/>
    <col min="4370" max="4370" width="14.625" style="286" customWidth="1"/>
    <col min="4371" max="4371" width="28.375" style="286" customWidth="1"/>
    <col min="4372" max="4372" width="14.125" style="286" bestFit="1" customWidth="1"/>
    <col min="4373" max="4373" width="8.75" style="286" bestFit="1" customWidth="1"/>
    <col min="4374" max="4616" width="9" style="286"/>
    <col min="4617" max="4617" width="29" style="286" customWidth="1"/>
    <col min="4618" max="4620" width="9.25" style="286" customWidth="1"/>
    <col min="4621" max="4621" width="10.375" style="286" customWidth="1"/>
    <col min="4622" max="4622" width="9.625" style="286" customWidth="1"/>
    <col min="4623" max="4623" width="9.25" style="286" customWidth="1"/>
    <col min="4624" max="4624" width="8.375" style="286" customWidth="1"/>
    <col min="4625" max="4625" width="10.375" style="286" customWidth="1"/>
    <col min="4626" max="4626" width="14.625" style="286" customWidth="1"/>
    <col min="4627" max="4627" width="28.375" style="286" customWidth="1"/>
    <col min="4628" max="4628" width="14.125" style="286" bestFit="1" customWidth="1"/>
    <col min="4629" max="4629" width="8.75" style="286" bestFit="1" customWidth="1"/>
    <col min="4630" max="4872" width="9" style="286"/>
    <col min="4873" max="4873" width="29" style="286" customWidth="1"/>
    <col min="4874" max="4876" width="9.25" style="286" customWidth="1"/>
    <col min="4877" max="4877" width="10.375" style="286" customWidth="1"/>
    <col min="4878" max="4878" width="9.625" style="286" customWidth="1"/>
    <col min="4879" max="4879" width="9.25" style="286" customWidth="1"/>
    <col min="4880" max="4880" width="8.375" style="286" customWidth="1"/>
    <col min="4881" max="4881" width="10.375" style="286" customWidth="1"/>
    <col min="4882" max="4882" width="14.625" style="286" customWidth="1"/>
    <col min="4883" max="4883" width="28.375" style="286" customWidth="1"/>
    <col min="4884" max="4884" width="14.125" style="286" bestFit="1" customWidth="1"/>
    <col min="4885" max="4885" width="8.75" style="286" bestFit="1" customWidth="1"/>
    <col min="4886" max="5128" width="9" style="286"/>
    <col min="5129" max="5129" width="29" style="286" customWidth="1"/>
    <col min="5130" max="5132" width="9.25" style="286" customWidth="1"/>
    <col min="5133" max="5133" width="10.375" style="286" customWidth="1"/>
    <col min="5134" max="5134" width="9.625" style="286" customWidth="1"/>
    <col min="5135" max="5135" width="9.25" style="286" customWidth="1"/>
    <col min="5136" max="5136" width="8.375" style="286" customWidth="1"/>
    <col min="5137" max="5137" width="10.375" style="286" customWidth="1"/>
    <col min="5138" max="5138" width="14.625" style="286" customWidth="1"/>
    <col min="5139" max="5139" width="28.375" style="286" customWidth="1"/>
    <col min="5140" max="5140" width="14.125" style="286" bestFit="1" customWidth="1"/>
    <col min="5141" max="5141" width="8.75" style="286" bestFit="1" customWidth="1"/>
    <col min="5142" max="5384" width="9" style="286"/>
    <col min="5385" max="5385" width="29" style="286" customWidth="1"/>
    <col min="5386" max="5388" width="9.25" style="286" customWidth="1"/>
    <col min="5389" max="5389" width="10.375" style="286" customWidth="1"/>
    <col min="5390" max="5390" width="9.625" style="286" customWidth="1"/>
    <col min="5391" max="5391" width="9.25" style="286" customWidth="1"/>
    <col min="5392" max="5392" width="8.375" style="286" customWidth="1"/>
    <col min="5393" max="5393" width="10.375" style="286" customWidth="1"/>
    <col min="5394" max="5394" width="14.625" style="286" customWidth="1"/>
    <col min="5395" max="5395" width="28.375" style="286" customWidth="1"/>
    <col min="5396" max="5396" width="14.125" style="286" bestFit="1" customWidth="1"/>
    <col min="5397" max="5397" width="8.75" style="286" bestFit="1" customWidth="1"/>
    <col min="5398" max="5640" width="9" style="286"/>
    <col min="5641" max="5641" width="29" style="286" customWidth="1"/>
    <col min="5642" max="5644" width="9.25" style="286" customWidth="1"/>
    <col min="5645" max="5645" width="10.375" style="286" customWidth="1"/>
    <col min="5646" max="5646" width="9.625" style="286" customWidth="1"/>
    <col min="5647" max="5647" width="9.25" style="286" customWidth="1"/>
    <col min="5648" max="5648" width="8.375" style="286" customWidth="1"/>
    <col min="5649" max="5649" width="10.375" style="286" customWidth="1"/>
    <col min="5650" max="5650" width="14.625" style="286" customWidth="1"/>
    <col min="5651" max="5651" width="28.375" style="286" customWidth="1"/>
    <col min="5652" max="5652" width="14.125" style="286" bestFit="1" customWidth="1"/>
    <col min="5653" max="5653" width="8.75" style="286" bestFit="1" customWidth="1"/>
    <col min="5654" max="5896" width="9" style="286"/>
    <col min="5897" max="5897" width="29" style="286" customWidth="1"/>
    <col min="5898" max="5900" width="9.25" style="286" customWidth="1"/>
    <col min="5901" max="5901" width="10.375" style="286" customWidth="1"/>
    <col min="5902" max="5902" width="9.625" style="286" customWidth="1"/>
    <col min="5903" max="5903" width="9.25" style="286" customWidth="1"/>
    <col min="5904" max="5904" width="8.375" style="286" customWidth="1"/>
    <col min="5905" max="5905" width="10.375" style="286" customWidth="1"/>
    <col min="5906" max="5906" width="14.625" style="286" customWidth="1"/>
    <col min="5907" max="5907" width="28.375" style="286" customWidth="1"/>
    <col min="5908" max="5908" width="14.125" style="286" bestFit="1" customWidth="1"/>
    <col min="5909" max="5909" width="8.75" style="286" bestFit="1" customWidth="1"/>
    <col min="5910" max="6152" width="9" style="286"/>
    <col min="6153" max="6153" width="29" style="286" customWidth="1"/>
    <col min="6154" max="6156" width="9.25" style="286" customWidth="1"/>
    <col min="6157" max="6157" width="10.375" style="286" customWidth="1"/>
    <col min="6158" max="6158" width="9.625" style="286" customWidth="1"/>
    <col min="6159" max="6159" width="9.25" style="286" customWidth="1"/>
    <col min="6160" max="6160" width="8.375" style="286" customWidth="1"/>
    <col min="6161" max="6161" width="10.375" style="286" customWidth="1"/>
    <col min="6162" max="6162" width="14.625" style="286" customWidth="1"/>
    <col min="6163" max="6163" width="28.375" style="286" customWidth="1"/>
    <col min="6164" max="6164" width="14.125" style="286" bestFit="1" customWidth="1"/>
    <col min="6165" max="6165" width="8.75" style="286" bestFit="1" customWidth="1"/>
    <col min="6166" max="6408" width="9" style="286"/>
    <col min="6409" max="6409" width="29" style="286" customWidth="1"/>
    <col min="6410" max="6412" width="9.25" style="286" customWidth="1"/>
    <col min="6413" max="6413" width="10.375" style="286" customWidth="1"/>
    <col min="6414" max="6414" width="9.625" style="286" customWidth="1"/>
    <col min="6415" max="6415" width="9.25" style="286" customWidth="1"/>
    <col min="6416" max="6416" width="8.375" style="286" customWidth="1"/>
    <col min="6417" max="6417" width="10.375" style="286" customWidth="1"/>
    <col min="6418" max="6418" width="14.625" style="286" customWidth="1"/>
    <col min="6419" max="6419" width="28.375" style="286" customWidth="1"/>
    <col min="6420" max="6420" width="14.125" style="286" bestFit="1" customWidth="1"/>
    <col min="6421" max="6421" width="8.75" style="286" bestFit="1" customWidth="1"/>
    <col min="6422" max="6664" width="9" style="286"/>
    <col min="6665" max="6665" width="29" style="286" customWidth="1"/>
    <col min="6666" max="6668" width="9.25" style="286" customWidth="1"/>
    <col min="6669" max="6669" width="10.375" style="286" customWidth="1"/>
    <col min="6670" max="6670" width="9.625" style="286" customWidth="1"/>
    <col min="6671" max="6671" width="9.25" style="286" customWidth="1"/>
    <col min="6672" max="6672" width="8.375" style="286" customWidth="1"/>
    <col min="6673" max="6673" width="10.375" style="286" customWidth="1"/>
    <col min="6674" max="6674" width="14.625" style="286" customWidth="1"/>
    <col min="6675" max="6675" width="28.375" style="286" customWidth="1"/>
    <col min="6676" max="6676" width="14.125" style="286" bestFit="1" customWidth="1"/>
    <col min="6677" max="6677" width="8.75" style="286" bestFit="1" customWidth="1"/>
    <col min="6678" max="6920" width="9" style="286"/>
    <col min="6921" max="6921" width="29" style="286" customWidth="1"/>
    <col min="6922" max="6924" width="9.25" style="286" customWidth="1"/>
    <col min="6925" max="6925" width="10.375" style="286" customWidth="1"/>
    <col min="6926" max="6926" width="9.625" style="286" customWidth="1"/>
    <col min="6927" max="6927" width="9.25" style="286" customWidth="1"/>
    <col min="6928" max="6928" width="8.375" style="286" customWidth="1"/>
    <col min="6929" max="6929" width="10.375" style="286" customWidth="1"/>
    <col min="6930" max="6930" width="14.625" style="286" customWidth="1"/>
    <col min="6931" max="6931" width="28.375" style="286" customWidth="1"/>
    <col min="6932" max="6932" width="14.125" style="286" bestFit="1" customWidth="1"/>
    <col min="6933" max="6933" width="8.75" style="286" bestFit="1" customWidth="1"/>
    <col min="6934" max="7176" width="9" style="286"/>
    <col min="7177" max="7177" width="29" style="286" customWidth="1"/>
    <col min="7178" max="7180" width="9.25" style="286" customWidth="1"/>
    <col min="7181" max="7181" width="10.375" style="286" customWidth="1"/>
    <col min="7182" max="7182" width="9.625" style="286" customWidth="1"/>
    <col min="7183" max="7183" width="9.25" style="286" customWidth="1"/>
    <col min="7184" max="7184" width="8.375" style="286" customWidth="1"/>
    <col min="7185" max="7185" width="10.375" style="286" customWidth="1"/>
    <col min="7186" max="7186" width="14.625" style="286" customWidth="1"/>
    <col min="7187" max="7187" width="28.375" style="286" customWidth="1"/>
    <col min="7188" max="7188" width="14.125" style="286" bestFit="1" customWidth="1"/>
    <col min="7189" max="7189" width="8.75" style="286" bestFit="1" customWidth="1"/>
    <col min="7190" max="7432" width="9" style="286"/>
    <col min="7433" max="7433" width="29" style="286" customWidth="1"/>
    <col min="7434" max="7436" width="9.25" style="286" customWidth="1"/>
    <col min="7437" max="7437" width="10.375" style="286" customWidth="1"/>
    <col min="7438" max="7438" width="9.625" style="286" customWidth="1"/>
    <col min="7439" max="7439" width="9.25" style="286" customWidth="1"/>
    <col min="7440" max="7440" width="8.375" style="286" customWidth="1"/>
    <col min="7441" max="7441" width="10.375" style="286" customWidth="1"/>
    <col min="7442" max="7442" width="14.625" style="286" customWidth="1"/>
    <col min="7443" max="7443" width="28.375" style="286" customWidth="1"/>
    <col min="7444" max="7444" width="14.125" style="286" bestFit="1" customWidth="1"/>
    <col min="7445" max="7445" width="8.75" style="286" bestFit="1" customWidth="1"/>
    <col min="7446" max="7688" width="9" style="286"/>
    <col min="7689" max="7689" width="29" style="286" customWidth="1"/>
    <col min="7690" max="7692" width="9.25" style="286" customWidth="1"/>
    <col min="7693" max="7693" width="10.375" style="286" customWidth="1"/>
    <col min="7694" max="7694" width="9.625" style="286" customWidth="1"/>
    <col min="7695" max="7695" width="9.25" style="286" customWidth="1"/>
    <col min="7696" max="7696" width="8.375" style="286" customWidth="1"/>
    <col min="7697" max="7697" width="10.375" style="286" customWidth="1"/>
    <col min="7698" max="7698" width="14.625" style="286" customWidth="1"/>
    <col min="7699" max="7699" width="28.375" style="286" customWidth="1"/>
    <col min="7700" max="7700" width="14.125" style="286" bestFit="1" customWidth="1"/>
    <col min="7701" max="7701" width="8.75" style="286" bestFit="1" customWidth="1"/>
    <col min="7702" max="7944" width="9" style="286"/>
    <col min="7945" max="7945" width="29" style="286" customWidth="1"/>
    <col min="7946" max="7948" width="9.25" style="286" customWidth="1"/>
    <col min="7949" max="7949" width="10.375" style="286" customWidth="1"/>
    <col min="7950" max="7950" width="9.625" style="286" customWidth="1"/>
    <col min="7951" max="7951" width="9.25" style="286" customWidth="1"/>
    <col min="7952" max="7952" width="8.375" style="286" customWidth="1"/>
    <col min="7953" max="7953" width="10.375" style="286" customWidth="1"/>
    <col min="7954" max="7954" width="14.625" style="286" customWidth="1"/>
    <col min="7955" max="7955" width="28.375" style="286" customWidth="1"/>
    <col min="7956" max="7956" width="14.125" style="286" bestFit="1" customWidth="1"/>
    <col min="7957" max="7957" width="8.75" style="286" bestFit="1" customWidth="1"/>
    <col min="7958" max="8200" width="9" style="286"/>
    <col min="8201" max="8201" width="29" style="286" customWidth="1"/>
    <col min="8202" max="8204" width="9.25" style="286" customWidth="1"/>
    <col min="8205" max="8205" width="10.375" style="286" customWidth="1"/>
    <col min="8206" max="8206" width="9.625" style="286" customWidth="1"/>
    <col min="8207" max="8207" width="9.25" style="286" customWidth="1"/>
    <col min="8208" max="8208" width="8.375" style="286" customWidth="1"/>
    <col min="8209" max="8209" width="10.375" style="286" customWidth="1"/>
    <col min="8210" max="8210" width="14.625" style="286" customWidth="1"/>
    <col min="8211" max="8211" width="28.375" style="286" customWidth="1"/>
    <col min="8212" max="8212" width="14.125" style="286" bestFit="1" customWidth="1"/>
    <col min="8213" max="8213" width="8.75" style="286" bestFit="1" customWidth="1"/>
    <col min="8214" max="8456" width="9" style="286"/>
    <col min="8457" max="8457" width="29" style="286" customWidth="1"/>
    <col min="8458" max="8460" width="9.25" style="286" customWidth="1"/>
    <col min="8461" max="8461" width="10.375" style="286" customWidth="1"/>
    <col min="8462" max="8462" width="9.625" style="286" customWidth="1"/>
    <col min="8463" max="8463" width="9.25" style="286" customWidth="1"/>
    <col min="8464" max="8464" width="8.375" style="286" customWidth="1"/>
    <col min="8465" max="8465" width="10.375" style="286" customWidth="1"/>
    <col min="8466" max="8466" width="14.625" style="286" customWidth="1"/>
    <col min="8467" max="8467" width="28.375" style="286" customWidth="1"/>
    <col min="8468" max="8468" width="14.125" style="286" bestFit="1" customWidth="1"/>
    <col min="8469" max="8469" width="8.75" style="286" bestFit="1" customWidth="1"/>
    <col min="8470" max="8712" width="9" style="286"/>
    <col min="8713" max="8713" width="29" style="286" customWidth="1"/>
    <col min="8714" max="8716" width="9.25" style="286" customWidth="1"/>
    <col min="8717" max="8717" width="10.375" style="286" customWidth="1"/>
    <col min="8718" max="8718" width="9.625" style="286" customWidth="1"/>
    <col min="8719" max="8719" width="9.25" style="286" customWidth="1"/>
    <col min="8720" max="8720" width="8.375" style="286" customWidth="1"/>
    <col min="8721" max="8721" width="10.375" style="286" customWidth="1"/>
    <col min="8722" max="8722" width="14.625" style="286" customWidth="1"/>
    <col min="8723" max="8723" width="28.375" style="286" customWidth="1"/>
    <col min="8724" max="8724" width="14.125" style="286" bestFit="1" customWidth="1"/>
    <col min="8725" max="8725" width="8.75" style="286" bestFit="1" customWidth="1"/>
    <col min="8726" max="8968" width="9" style="286"/>
    <col min="8969" max="8969" width="29" style="286" customWidth="1"/>
    <col min="8970" max="8972" width="9.25" style="286" customWidth="1"/>
    <col min="8973" max="8973" width="10.375" style="286" customWidth="1"/>
    <col min="8974" max="8974" width="9.625" style="286" customWidth="1"/>
    <col min="8975" max="8975" width="9.25" style="286" customWidth="1"/>
    <col min="8976" max="8976" width="8.375" style="286" customWidth="1"/>
    <col min="8977" max="8977" width="10.375" style="286" customWidth="1"/>
    <col min="8978" max="8978" width="14.625" style="286" customWidth="1"/>
    <col min="8979" max="8979" width="28.375" style="286" customWidth="1"/>
    <col min="8980" max="8980" width="14.125" style="286" bestFit="1" customWidth="1"/>
    <col min="8981" max="8981" width="8.75" style="286" bestFit="1" customWidth="1"/>
    <col min="8982" max="9224" width="9" style="286"/>
    <col min="9225" max="9225" width="29" style="286" customWidth="1"/>
    <col min="9226" max="9228" width="9.25" style="286" customWidth="1"/>
    <col min="9229" max="9229" width="10.375" style="286" customWidth="1"/>
    <col min="9230" max="9230" width="9.625" style="286" customWidth="1"/>
    <col min="9231" max="9231" width="9.25" style="286" customWidth="1"/>
    <col min="9232" max="9232" width="8.375" style="286" customWidth="1"/>
    <col min="9233" max="9233" width="10.375" style="286" customWidth="1"/>
    <col min="9234" max="9234" width="14.625" style="286" customWidth="1"/>
    <col min="9235" max="9235" width="28.375" style="286" customWidth="1"/>
    <col min="9236" max="9236" width="14.125" style="286" bestFit="1" customWidth="1"/>
    <col min="9237" max="9237" width="8.75" style="286" bestFit="1" customWidth="1"/>
    <col min="9238" max="9480" width="9" style="286"/>
    <col min="9481" max="9481" width="29" style="286" customWidth="1"/>
    <col min="9482" max="9484" width="9.25" style="286" customWidth="1"/>
    <col min="9485" max="9485" width="10.375" style="286" customWidth="1"/>
    <col min="9486" max="9486" width="9.625" style="286" customWidth="1"/>
    <col min="9487" max="9487" width="9.25" style="286" customWidth="1"/>
    <col min="9488" max="9488" width="8.375" style="286" customWidth="1"/>
    <col min="9489" max="9489" width="10.375" style="286" customWidth="1"/>
    <col min="9490" max="9490" width="14.625" style="286" customWidth="1"/>
    <col min="9491" max="9491" width="28.375" style="286" customWidth="1"/>
    <col min="9492" max="9492" width="14.125" style="286" bestFit="1" customWidth="1"/>
    <col min="9493" max="9493" width="8.75" style="286" bestFit="1" customWidth="1"/>
    <col min="9494" max="9736" width="9" style="286"/>
    <col min="9737" max="9737" width="29" style="286" customWidth="1"/>
    <col min="9738" max="9740" width="9.25" style="286" customWidth="1"/>
    <col min="9741" max="9741" width="10.375" style="286" customWidth="1"/>
    <col min="9742" max="9742" width="9.625" style="286" customWidth="1"/>
    <col min="9743" max="9743" width="9.25" style="286" customWidth="1"/>
    <col min="9744" max="9744" width="8.375" style="286" customWidth="1"/>
    <col min="9745" max="9745" width="10.375" style="286" customWidth="1"/>
    <col min="9746" max="9746" width="14.625" style="286" customWidth="1"/>
    <col min="9747" max="9747" width="28.375" style="286" customWidth="1"/>
    <col min="9748" max="9748" width="14.125" style="286" bestFit="1" customWidth="1"/>
    <col min="9749" max="9749" width="8.75" style="286" bestFit="1" customWidth="1"/>
    <col min="9750" max="9992" width="9" style="286"/>
    <col min="9993" max="9993" width="29" style="286" customWidth="1"/>
    <col min="9994" max="9996" width="9.25" style="286" customWidth="1"/>
    <col min="9997" max="9997" width="10.375" style="286" customWidth="1"/>
    <col min="9998" max="9998" width="9.625" style="286" customWidth="1"/>
    <col min="9999" max="9999" width="9.25" style="286" customWidth="1"/>
    <col min="10000" max="10000" width="8.375" style="286" customWidth="1"/>
    <col min="10001" max="10001" width="10.375" style="286" customWidth="1"/>
    <col min="10002" max="10002" width="14.625" style="286" customWidth="1"/>
    <col min="10003" max="10003" width="28.375" style="286" customWidth="1"/>
    <col min="10004" max="10004" width="14.125" style="286" bestFit="1" customWidth="1"/>
    <col min="10005" max="10005" width="8.75" style="286" bestFit="1" customWidth="1"/>
    <col min="10006" max="10248" width="9" style="286"/>
    <col min="10249" max="10249" width="29" style="286" customWidth="1"/>
    <col min="10250" max="10252" width="9.25" style="286" customWidth="1"/>
    <col min="10253" max="10253" width="10.375" style="286" customWidth="1"/>
    <col min="10254" max="10254" width="9.625" style="286" customWidth="1"/>
    <col min="10255" max="10255" width="9.25" style="286" customWidth="1"/>
    <col min="10256" max="10256" width="8.375" style="286" customWidth="1"/>
    <col min="10257" max="10257" width="10.375" style="286" customWidth="1"/>
    <col min="10258" max="10258" width="14.625" style="286" customWidth="1"/>
    <col min="10259" max="10259" width="28.375" style="286" customWidth="1"/>
    <col min="10260" max="10260" width="14.125" style="286" bestFit="1" customWidth="1"/>
    <col min="10261" max="10261" width="8.75" style="286" bestFit="1" customWidth="1"/>
    <col min="10262" max="10504" width="9" style="286"/>
    <col min="10505" max="10505" width="29" style="286" customWidth="1"/>
    <col min="10506" max="10508" width="9.25" style="286" customWidth="1"/>
    <col min="10509" max="10509" width="10.375" style="286" customWidth="1"/>
    <col min="10510" max="10510" width="9.625" style="286" customWidth="1"/>
    <col min="10511" max="10511" width="9.25" style="286" customWidth="1"/>
    <col min="10512" max="10512" width="8.375" style="286" customWidth="1"/>
    <col min="10513" max="10513" width="10.375" style="286" customWidth="1"/>
    <col min="10514" max="10514" width="14.625" style="286" customWidth="1"/>
    <col min="10515" max="10515" width="28.375" style="286" customWidth="1"/>
    <col min="10516" max="10516" width="14.125" style="286" bestFit="1" customWidth="1"/>
    <col min="10517" max="10517" width="8.75" style="286" bestFit="1" customWidth="1"/>
    <col min="10518" max="10760" width="9" style="286"/>
    <col min="10761" max="10761" width="29" style="286" customWidth="1"/>
    <col min="10762" max="10764" width="9.25" style="286" customWidth="1"/>
    <col min="10765" max="10765" width="10.375" style="286" customWidth="1"/>
    <col min="10766" max="10766" width="9.625" style="286" customWidth="1"/>
    <col min="10767" max="10767" width="9.25" style="286" customWidth="1"/>
    <col min="10768" max="10768" width="8.375" style="286" customWidth="1"/>
    <col min="10769" max="10769" width="10.375" style="286" customWidth="1"/>
    <col min="10770" max="10770" width="14.625" style="286" customWidth="1"/>
    <col min="10771" max="10771" width="28.375" style="286" customWidth="1"/>
    <col min="10772" max="10772" width="14.125" style="286" bestFit="1" customWidth="1"/>
    <col min="10773" max="10773" width="8.75" style="286" bestFit="1" customWidth="1"/>
    <col min="10774" max="11016" width="9" style="286"/>
    <col min="11017" max="11017" width="29" style="286" customWidth="1"/>
    <col min="11018" max="11020" width="9.25" style="286" customWidth="1"/>
    <col min="11021" max="11021" width="10.375" style="286" customWidth="1"/>
    <col min="11022" max="11022" width="9.625" style="286" customWidth="1"/>
    <col min="11023" max="11023" width="9.25" style="286" customWidth="1"/>
    <col min="11024" max="11024" width="8.375" style="286" customWidth="1"/>
    <col min="11025" max="11025" width="10.375" style="286" customWidth="1"/>
    <col min="11026" max="11026" width="14.625" style="286" customWidth="1"/>
    <col min="11027" max="11027" width="28.375" style="286" customWidth="1"/>
    <col min="11028" max="11028" width="14.125" style="286" bestFit="1" customWidth="1"/>
    <col min="11029" max="11029" width="8.75" style="286" bestFit="1" customWidth="1"/>
    <col min="11030" max="11272" width="9" style="286"/>
    <col min="11273" max="11273" width="29" style="286" customWidth="1"/>
    <col min="11274" max="11276" width="9.25" style="286" customWidth="1"/>
    <col min="11277" max="11277" width="10.375" style="286" customWidth="1"/>
    <col min="11278" max="11278" width="9.625" style="286" customWidth="1"/>
    <col min="11279" max="11279" width="9.25" style="286" customWidth="1"/>
    <col min="11280" max="11280" width="8.375" style="286" customWidth="1"/>
    <col min="11281" max="11281" width="10.375" style="286" customWidth="1"/>
    <col min="11282" max="11282" width="14.625" style="286" customWidth="1"/>
    <col min="11283" max="11283" width="28.375" style="286" customWidth="1"/>
    <col min="11284" max="11284" width="14.125" style="286" bestFit="1" customWidth="1"/>
    <col min="11285" max="11285" width="8.75" style="286" bestFit="1" customWidth="1"/>
    <col min="11286" max="11528" width="9" style="286"/>
    <col min="11529" max="11529" width="29" style="286" customWidth="1"/>
    <col min="11530" max="11532" width="9.25" style="286" customWidth="1"/>
    <col min="11533" max="11533" width="10.375" style="286" customWidth="1"/>
    <col min="11534" max="11534" width="9.625" style="286" customWidth="1"/>
    <col min="11535" max="11535" width="9.25" style="286" customWidth="1"/>
    <col min="11536" max="11536" width="8.375" style="286" customWidth="1"/>
    <col min="11537" max="11537" width="10.375" style="286" customWidth="1"/>
    <col min="11538" max="11538" width="14.625" style="286" customWidth="1"/>
    <col min="11539" max="11539" width="28.375" style="286" customWidth="1"/>
    <col min="11540" max="11540" width="14.125" style="286" bestFit="1" customWidth="1"/>
    <col min="11541" max="11541" width="8.75" style="286" bestFit="1" customWidth="1"/>
    <col min="11542" max="11784" width="9" style="286"/>
    <col min="11785" max="11785" width="29" style="286" customWidth="1"/>
    <col min="11786" max="11788" width="9.25" style="286" customWidth="1"/>
    <col min="11789" max="11789" width="10.375" style="286" customWidth="1"/>
    <col min="11790" max="11790" width="9.625" style="286" customWidth="1"/>
    <col min="11791" max="11791" width="9.25" style="286" customWidth="1"/>
    <col min="11792" max="11792" width="8.375" style="286" customWidth="1"/>
    <col min="11793" max="11793" width="10.375" style="286" customWidth="1"/>
    <col min="11794" max="11794" width="14.625" style="286" customWidth="1"/>
    <col min="11795" max="11795" width="28.375" style="286" customWidth="1"/>
    <col min="11796" max="11796" width="14.125" style="286" bestFit="1" customWidth="1"/>
    <col min="11797" max="11797" width="8.75" style="286" bestFit="1" customWidth="1"/>
    <col min="11798" max="12040" width="9" style="286"/>
    <col min="12041" max="12041" width="29" style="286" customWidth="1"/>
    <col min="12042" max="12044" width="9.25" style="286" customWidth="1"/>
    <col min="12045" max="12045" width="10.375" style="286" customWidth="1"/>
    <col min="12046" max="12046" width="9.625" style="286" customWidth="1"/>
    <col min="12047" max="12047" width="9.25" style="286" customWidth="1"/>
    <col min="12048" max="12048" width="8.375" style="286" customWidth="1"/>
    <col min="12049" max="12049" width="10.375" style="286" customWidth="1"/>
    <col min="12050" max="12050" width="14.625" style="286" customWidth="1"/>
    <col min="12051" max="12051" width="28.375" style="286" customWidth="1"/>
    <col min="12052" max="12052" width="14.125" style="286" bestFit="1" customWidth="1"/>
    <col min="12053" max="12053" width="8.75" style="286" bestFit="1" customWidth="1"/>
    <col min="12054" max="12296" width="9" style="286"/>
    <col min="12297" max="12297" width="29" style="286" customWidth="1"/>
    <col min="12298" max="12300" width="9.25" style="286" customWidth="1"/>
    <col min="12301" max="12301" width="10.375" style="286" customWidth="1"/>
    <col min="12302" max="12302" width="9.625" style="286" customWidth="1"/>
    <col min="12303" max="12303" width="9.25" style="286" customWidth="1"/>
    <col min="12304" max="12304" width="8.375" style="286" customWidth="1"/>
    <col min="12305" max="12305" width="10.375" style="286" customWidth="1"/>
    <col min="12306" max="12306" width="14.625" style="286" customWidth="1"/>
    <col min="12307" max="12307" width="28.375" style="286" customWidth="1"/>
    <col min="12308" max="12308" width="14.125" style="286" bestFit="1" customWidth="1"/>
    <col min="12309" max="12309" width="8.75" style="286" bestFit="1" customWidth="1"/>
    <col min="12310" max="12552" width="9" style="286"/>
    <col min="12553" max="12553" width="29" style="286" customWidth="1"/>
    <col min="12554" max="12556" width="9.25" style="286" customWidth="1"/>
    <col min="12557" max="12557" width="10.375" style="286" customWidth="1"/>
    <col min="12558" max="12558" width="9.625" style="286" customWidth="1"/>
    <col min="12559" max="12559" width="9.25" style="286" customWidth="1"/>
    <col min="12560" max="12560" width="8.375" style="286" customWidth="1"/>
    <col min="12561" max="12561" width="10.375" style="286" customWidth="1"/>
    <col min="12562" max="12562" width="14.625" style="286" customWidth="1"/>
    <col min="12563" max="12563" width="28.375" style="286" customWidth="1"/>
    <col min="12564" max="12564" width="14.125" style="286" bestFit="1" customWidth="1"/>
    <col min="12565" max="12565" width="8.75" style="286" bestFit="1" customWidth="1"/>
    <col min="12566" max="12808" width="9" style="286"/>
    <col min="12809" max="12809" width="29" style="286" customWidth="1"/>
    <col min="12810" max="12812" width="9.25" style="286" customWidth="1"/>
    <col min="12813" max="12813" width="10.375" style="286" customWidth="1"/>
    <col min="12814" max="12814" width="9.625" style="286" customWidth="1"/>
    <col min="12815" max="12815" width="9.25" style="286" customWidth="1"/>
    <col min="12816" max="12816" width="8.375" style="286" customWidth="1"/>
    <col min="12817" max="12817" width="10.375" style="286" customWidth="1"/>
    <col min="12818" max="12818" width="14.625" style="286" customWidth="1"/>
    <col min="12819" max="12819" width="28.375" style="286" customWidth="1"/>
    <col min="12820" max="12820" width="14.125" style="286" bestFit="1" customWidth="1"/>
    <col min="12821" max="12821" width="8.75" style="286" bestFit="1" customWidth="1"/>
    <col min="12822" max="13064" width="9" style="286"/>
    <col min="13065" max="13065" width="29" style="286" customWidth="1"/>
    <col min="13066" max="13068" width="9.25" style="286" customWidth="1"/>
    <col min="13069" max="13069" width="10.375" style="286" customWidth="1"/>
    <col min="13070" max="13070" width="9.625" style="286" customWidth="1"/>
    <col min="13071" max="13071" width="9.25" style="286" customWidth="1"/>
    <col min="13072" max="13072" width="8.375" style="286" customWidth="1"/>
    <col min="13073" max="13073" width="10.375" style="286" customWidth="1"/>
    <col min="13074" max="13074" width="14.625" style="286" customWidth="1"/>
    <col min="13075" max="13075" width="28.375" style="286" customWidth="1"/>
    <col min="13076" max="13076" width="14.125" style="286" bestFit="1" customWidth="1"/>
    <col min="13077" max="13077" width="8.75" style="286" bestFit="1" customWidth="1"/>
    <col min="13078" max="13320" width="9" style="286"/>
    <col min="13321" max="13321" width="29" style="286" customWidth="1"/>
    <col min="13322" max="13324" width="9.25" style="286" customWidth="1"/>
    <col min="13325" max="13325" width="10.375" style="286" customWidth="1"/>
    <col min="13326" max="13326" width="9.625" style="286" customWidth="1"/>
    <col min="13327" max="13327" width="9.25" style="286" customWidth="1"/>
    <col min="13328" max="13328" width="8.375" style="286" customWidth="1"/>
    <col min="13329" max="13329" width="10.375" style="286" customWidth="1"/>
    <col min="13330" max="13330" width="14.625" style="286" customWidth="1"/>
    <col min="13331" max="13331" width="28.375" style="286" customWidth="1"/>
    <col min="13332" max="13332" width="14.125" style="286" bestFit="1" customWidth="1"/>
    <col min="13333" max="13333" width="8.75" style="286" bestFit="1" customWidth="1"/>
    <col min="13334" max="13576" width="9" style="286"/>
    <col min="13577" max="13577" width="29" style="286" customWidth="1"/>
    <col min="13578" max="13580" width="9.25" style="286" customWidth="1"/>
    <col min="13581" max="13581" width="10.375" style="286" customWidth="1"/>
    <col min="13582" max="13582" width="9.625" style="286" customWidth="1"/>
    <col min="13583" max="13583" width="9.25" style="286" customWidth="1"/>
    <col min="13584" max="13584" width="8.375" style="286" customWidth="1"/>
    <col min="13585" max="13585" width="10.375" style="286" customWidth="1"/>
    <col min="13586" max="13586" width="14.625" style="286" customWidth="1"/>
    <col min="13587" max="13587" width="28.375" style="286" customWidth="1"/>
    <col min="13588" max="13588" width="14.125" style="286" bestFit="1" customWidth="1"/>
    <col min="13589" max="13589" width="8.75" style="286" bestFit="1" customWidth="1"/>
    <col min="13590" max="13832" width="9" style="286"/>
    <col min="13833" max="13833" width="29" style="286" customWidth="1"/>
    <col min="13834" max="13836" width="9.25" style="286" customWidth="1"/>
    <col min="13837" max="13837" width="10.375" style="286" customWidth="1"/>
    <col min="13838" max="13838" width="9.625" style="286" customWidth="1"/>
    <col min="13839" max="13839" width="9.25" style="286" customWidth="1"/>
    <col min="13840" max="13840" width="8.375" style="286" customWidth="1"/>
    <col min="13841" max="13841" width="10.375" style="286" customWidth="1"/>
    <col min="13842" max="13842" width="14.625" style="286" customWidth="1"/>
    <col min="13843" max="13843" width="28.375" style="286" customWidth="1"/>
    <col min="13844" max="13844" width="14.125" style="286" bestFit="1" customWidth="1"/>
    <col min="13845" max="13845" width="8.75" style="286" bestFit="1" customWidth="1"/>
    <col min="13846" max="14088" width="9" style="286"/>
    <col min="14089" max="14089" width="29" style="286" customWidth="1"/>
    <col min="14090" max="14092" width="9.25" style="286" customWidth="1"/>
    <col min="14093" max="14093" width="10.375" style="286" customWidth="1"/>
    <col min="14094" max="14094" width="9.625" style="286" customWidth="1"/>
    <col min="14095" max="14095" width="9.25" style="286" customWidth="1"/>
    <col min="14096" max="14096" width="8.375" style="286" customWidth="1"/>
    <col min="14097" max="14097" width="10.375" style="286" customWidth="1"/>
    <col min="14098" max="14098" width="14.625" style="286" customWidth="1"/>
    <col min="14099" max="14099" width="28.375" style="286" customWidth="1"/>
    <col min="14100" max="14100" width="14.125" style="286" bestFit="1" customWidth="1"/>
    <col min="14101" max="14101" width="8.75" style="286" bestFit="1" customWidth="1"/>
    <col min="14102" max="14344" width="9" style="286"/>
    <col min="14345" max="14345" width="29" style="286" customWidth="1"/>
    <col min="14346" max="14348" width="9.25" style="286" customWidth="1"/>
    <col min="14349" max="14349" width="10.375" style="286" customWidth="1"/>
    <col min="14350" max="14350" width="9.625" style="286" customWidth="1"/>
    <col min="14351" max="14351" width="9.25" style="286" customWidth="1"/>
    <col min="14352" max="14352" width="8.375" style="286" customWidth="1"/>
    <col min="14353" max="14353" width="10.375" style="286" customWidth="1"/>
    <col min="14354" max="14354" width="14.625" style="286" customWidth="1"/>
    <col min="14355" max="14355" width="28.375" style="286" customWidth="1"/>
    <col min="14356" max="14356" width="14.125" style="286" bestFit="1" customWidth="1"/>
    <col min="14357" max="14357" width="8.75" style="286" bestFit="1" customWidth="1"/>
    <col min="14358" max="14600" width="9" style="286"/>
    <col min="14601" max="14601" width="29" style="286" customWidth="1"/>
    <col min="14602" max="14604" width="9.25" style="286" customWidth="1"/>
    <col min="14605" max="14605" width="10.375" style="286" customWidth="1"/>
    <col min="14606" max="14606" width="9.625" style="286" customWidth="1"/>
    <col min="14607" max="14607" width="9.25" style="286" customWidth="1"/>
    <col min="14608" max="14608" width="8.375" style="286" customWidth="1"/>
    <col min="14609" max="14609" width="10.375" style="286" customWidth="1"/>
    <col min="14610" max="14610" width="14.625" style="286" customWidth="1"/>
    <col min="14611" max="14611" width="28.375" style="286" customWidth="1"/>
    <col min="14612" max="14612" width="14.125" style="286" bestFit="1" customWidth="1"/>
    <col min="14613" max="14613" width="8.75" style="286" bestFit="1" customWidth="1"/>
    <col min="14614" max="14856" width="9" style="286"/>
    <col min="14857" max="14857" width="29" style="286" customWidth="1"/>
    <col min="14858" max="14860" width="9.25" style="286" customWidth="1"/>
    <col min="14861" max="14861" width="10.375" style="286" customWidth="1"/>
    <col min="14862" max="14862" width="9.625" style="286" customWidth="1"/>
    <col min="14863" max="14863" width="9.25" style="286" customWidth="1"/>
    <col min="14864" max="14864" width="8.375" style="286" customWidth="1"/>
    <col min="14865" max="14865" width="10.375" style="286" customWidth="1"/>
    <col min="14866" max="14866" width="14.625" style="286" customWidth="1"/>
    <col min="14867" max="14867" width="28.375" style="286" customWidth="1"/>
    <col min="14868" max="14868" width="14.125" style="286" bestFit="1" customWidth="1"/>
    <col min="14869" max="14869" width="8.75" style="286" bestFit="1" customWidth="1"/>
    <col min="14870" max="15112" width="9" style="286"/>
    <col min="15113" max="15113" width="29" style="286" customWidth="1"/>
    <col min="15114" max="15116" width="9.25" style="286" customWidth="1"/>
    <col min="15117" max="15117" width="10.375" style="286" customWidth="1"/>
    <col min="15118" max="15118" width="9.625" style="286" customWidth="1"/>
    <col min="15119" max="15119" width="9.25" style="286" customWidth="1"/>
    <col min="15120" max="15120" width="8.375" style="286" customWidth="1"/>
    <col min="15121" max="15121" width="10.375" style="286" customWidth="1"/>
    <col min="15122" max="15122" width="14.625" style="286" customWidth="1"/>
    <col min="15123" max="15123" width="28.375" style="286" customWidth="1"/>
    <col min="15124" max="15124" width="14.125" style="286" bestFit="1" customWidth="1"/>
    <col min="15125" max="15125" width="8.75" style="286" bestFit="1" customWidth="1"/>
    <col min="15126" max="15368" width="9" style="286"/>
    <col min="15369" max="15369" width="29" style="286" customWidth="1"/>
    <col min="15370" max="15372" width="9.25" style="286" customWidth="1"/>
    <col min="15373" max="15373" width="10.375" style="286" customWidth="1"/>
    <col min="15374" max="15374" width="9.625" style="286" customWidth="1"/>
    <col min="15375" max="15375" width="9.25" style="286" customWidth="1"/>
    <col min="15376" max="15376" width="8.375" style="286" customWidth="1"/>
    <col min="15377" max="15377" width="10.375" style="286" customWidth="1"/>
    <col min="15378" max="15378" width="14.625" style="286" customWidth="1"/>
    <col min="15379" max="15379" width="28.375" style="286" customWidth="1"/>
    <col min="15380" max="15380" width="14.125" style="286" bestFit="1" customWidth="1"/>
    <col min="15381" max="15381" width="8.75" style="286" bestFit="1" customWidth="1"/>
    <col min="15382" max="15624" width="9" style="286"/>
    <col min="15625" max="15625" width="29" style="286" customWidth="1"/>
    <col min="15626" max="15628" width="9.25" style="286" customWidth="1"/>
    <col min="15629" max="15629" width="10.375" style="286" customWidth="1"/>
    <col min="15630" max="15630" width="9.625" style="286" customWidth="1"/>
    <col min="15631" max="15631" width="9.25" style="286" customWidth="1"/>
    <col min="15632" max="15632" width="8.375" style="286" customWidth="1"/>
    <col min="15633" max="15633" width="10.375" style="286" customWidth="1"/>
    <col min="15634" max="15634" width="14.625" style="286" customWidth="1"/>
    <col min="15635" max="15635" width="28.375" style="286" customWidth="1"/>
    <col min="15636" max="15636" width="14.125" style="286" bestFit="1" customWidth="1"/>
    <col min="15637" max="15637" width="8.75" style="286" bestFit="1" customWidth="1"/>
    <col min="15638" max="15880" width="9" style="286"/>
    <col min="15881" max="15881" width="29" style="286" customWidth="1"/>
    <col min="15882" max="15884" width="9.25" style="286" customWidth="1"/>
    <col min="15885" max="15885" width="10.375" style="286" customWidth="1"/>
    <col min="15886" max="15886" width="9.625" style="286" customWidth="1"/>
    <col min="15887" max="15887" width="9.25" style="286" customWidth="1"/>
    <col min="15888" max="15888" width="8.375" style="286" customWidth="1"/>
    <col min="15889" max="15889" width="10.375" style="286" customWidth="1"/>
    <col min="15890" max="15890" width="14.625" style="286" customWidth="1"/>
    <col min="15891" max="15891" width="28.375" style="286" customWidth="1"/>
    <col min="15892" max="15892" width="14.125" style="286" bestFit="1" customWidth="1"/>
    <col min="15893" max="15893" width="8.75" style="286" bestFit="1" customWidth="1"/>
    <col min="15894" max="16136" width="9" style="286"/>
    <col min="16137" max="16137" width="29" style="286" customWidth="1"/>
    <col min="16138" max="16140" width="9.25" style="286" customWidth="1"/>
    <col min="16141" max="16141" width="10.375" style="286" customWidth="1"/>
    <col min="16142" max="16142" width="9.625" style="286" customWidth="1"/>
    <col min="16143" max="16143" width="9.25" style="286" customWidth="1"/>
    <col min="16144" max="16144" width="8.375" style="286" customWidth="1"/>
    <col min="16145" max="16145" width="10.375" style="286" customWidth="1"/>
    <col min="16146" max="16146" width="14.625" style="286" customWidth="1"/>
    <col min="16147" max="16147" width="28.375" style="286" customWidth="1"/>
    <col min="16148" max="16148" width="14.125" style="286" bestFit="1" customWidth="1"/>
    <col min="16149" max="16149" width="8.75" style="286" bestFit="1" customWidth="1"/>
    <col min="16150" max="16384" width="9" style="286"/>
  </cols>
  <sheetData>
    <row r="1" spans="1:21" ht="24.7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</row>
    <row r="2" spans="1:21" s="269" customFormat="1" ht="23.25">
      <c r="A2" s="1728" t="s">
        <v>173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  <c r="Q2" s="1728"/>
      <c r="R2" s="1728"/>
      <c r="S2" s="1728"/>
    </row>
    <row r="3" spans="1:21" s="290" customFormat="1" ht="21.75">
      <c r="A3" s="287" t="s">
        <v>0</v>
      </c>
      <c r="B3" s="287"/>
      <c r="C3" s="288"/>
      <c r="D3" s="289"/>
      <c r="E3" s="289"/>
      <c r="F3" s="289"/>
      <c r="S3" s="271"/>
    </row>
    <row r="4" spans="1:21" s="290" customFormat="1" ht="21.75">
      <c r="A4" s="287" t="s">
        <v>1</v>
      </c>
      <c r="B4" s="287"/>
      <c r="C4" s="288"/>
      <c r="S4" s="271"/>
    </row>
    <row r="5" spans="1:21">
      <c r="C5" s="286" t="s">
        <v>815</v>
      </c>
      <c r="S5" s="272" t="s">
        <v>86</v>
      </c>
    </row>
    <row r="6" spans="1:21" s="291" customFormat="1" ht="17.25" customHeight="1">
      <c r="A6" s="1587" t="s">
        <v>87</v>
      </c>
      <c r="B6" s="1588"/>
      <c r="C6" s="1755" t="s">
        <v>88</v>
      </c>
      <c r="D6" s="1756" t="s">
        <v>15</v>
      </c>
      <c r="E6" s="1757"/>
      <c r="F6" s="1756" t="s">
        <v>28</v>
      </c>
      <c r="G6" s="1757"/>
      <c r="H6" s="1760" t="s">
        <v>63</v>
      </c>
      <c r="I6" s="1760"/>
      <c r="J6" s="1760"/>
      <c r="K6" s="1760"/>
      <c r="L6" s="1760"/>
      <c r="M6" s="1760"/>
      <c r="N6" s="1760"/>
      <c r="O6" s="1760"/>
      <c r="P6" s="1760"/>
      <c r="Q6" s="1577" t="s">
        <v>89</v>
      </c>
      <c r="R6" s="1577" t="s">
        <v>90</v>
      </c>
      <c r="S6" s="1761" t="s">
        <v>91</v>
      </c>
    </row>
    <row r="7" spans="1:21" s="291" customFormat="1" ht="17.25" customHeight="1">
      <c r="A7" s="1753"/>
      <c r="B7" s="1754"/>
      <c r="C7" s="1752"/>
      <c r="D7" s="1758"/>
      <c r="E7" s="1759"/>
      <c r="F7" s="1758"/>
      <c r="G7" s="1759"/>
      <c r="H7" s="1619" t="s">
        <v>76</v>
      </c>
      <c r="I7" s="1619" t="s">
        <v>77</v>
      </c>
      <c r="J7" s="1619"/>
      <c r="K7" s="1619"/>
      <c r="L7" s="1752" t="s">
        <v>175</v>
      </c>
      <c r="M7" s="1766" t="s">
        <v>92</v>
      </c>
      <c r="N7" s="1752" t="s">
        <v>93</v>
      </c>
      <c r="O7" s="1752" t="s">
        <v>94</v>
      </c>
      <c r="P7" s="1620" t="s">
        <v>10</v>
      </c>
      <c r="Q7" s="1583"/>
      <c r="R7" s="1583"/>
      <c r="S7" s="1762"/>
    </row>
    <row r="8" spans="1:21" s="291" customFormat="1" ht="43.5" customHeight="1">
      <c r="A8" s="1589"/>
      <c r="B8" s="1590"/>
      <c r="C8" s="1752"/>
      <c r="D8" s="292" t="s">
        <v>4</v>
      </c>
      <c r="E8" s="292" t="s">
        <v>5</v>
      </c>
      <c r="F8" s="292" t="s">
        <v>4</v>
      </c>
      <c r="G8" s="292" t="s">
        <v>6</v>
      </c>
      <c r="H8" s="1577"/>
      <c r="I8" s="1619"/>
      <c r="J8" s="1619"/>
      <c r="K8" s="1619"/>
      <c r="L8" s="1752" t="s">
        <v>95</v>
      </c>
      <c r="M8" s="1766"/>
      <c r="N8" s="1752"/>
      <c r="O8" s="1752"/>
      <c r="P8" s="1620"/>
      <c r="Q8" s="1583"/>
      <c r="R8" s="1583"/>
      <c r="S8" s="1762"/>
    </row>
    <row r="9" spans="1:21" s="291" customFormat="1" ht="17.25" customHeight="1">
      <c r="A9" s="86" t="s">
        <v>96</v>
      </c>
      <c r="B9" s="86" t="s">
        <v>97</v>
      </c>
      <c r="C9" s="85"/>
      <c r="D9" s="293"/>
      <c r="E9" s="293"/>
      <c r="F9" s="293"/>
      <c r="G9" s="293"/>
      <c r="H9" s="76"/>
      <c r="I9" s="76" t="s">
        <v>78</v>
      </c>
      <c r="J9" s="76" t="s">
        <v>79</v>
      </c>
      <c r="K9" s="76" t="s">
        <v>80</v>
      </c>
      <c r="L9" s="294"/>
      <c r="M9" s="294"/>
      <c r="N9" s="294"/>
      <c r="O9" s="294"/>
      <c r="P9" s="295"/>
      <c r="Q9" s="76"/>
      <c r="R9" s="76"/>
      <c r="S9" s="1762"/>
    </row>
    <row r="10" spans="1:21" s="291" customFormat="1" ht="17.25" customHeight="1" thickBot="1">
      <c r="A10" s="93"/>
      <c r="B10" s="93"/>
      <c r="C10" s="95" t="s">
        <v>11</v>
      </c>
      <c r="D10" s="296"/>
      <c r="E10" s="296"/>
      <c r="F10" s="296"/>
      <c r="G10" s="296"/>
      <c r="H10" s="97"/>
      <c r="I10" s="97"/>
      <c r="J10" s="97"/>
      <c r="K10" s="97"/>
      <c r="L10" s="297"/>
      <c r="M10" s="297"/>
      <c r="N10" s="297"/>
      <c r="O10" s="297"/>
      <c r="P10" s="298">
        <f>P15</f>
        <v>2356260</v>
      </c>
      <c r="Q10" s="97"/>
      <c r="R10" s="97"/>
      <c r="S10" s="1763"/>
    </row>
    <row r="11" spans="1:21" s="105" customFormat="1" ht="21" customHeight="1" thickTop="1">
      <c r="A11" s="477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715"/>
      <c r="Q11" s="479"/>
      <c r="R11" s="479"/>
      <c r="S11" s="104"/>
      <c r="U11" s="707"/>
    </row>
    <row r="12" spans="1:21" s="39" customFormat="1" ht="21" customHeight="1">
      <c r="A12" s="198"/>
      <c r="B12" s="198"/>
      <c r="C12" s="699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716"/>
      <c r="Q12" s="215"/>
      <c r="R12" s="215"/>
      <c r="S12" s="54"/>
      <c r="U12" s="708"/>
    </row>
    <row r="13" spans="1:21" s="569" customFormat="1" ht="19.5" customHeight="1">
      <c r="A13" s="568"/>
      <c r="C13" s="570" t="s">
        <v>842</v>
      </c>
      <c r="D13" s="571"/>
      <c r="E13" s="571"/>
      <c r="F13" s="571"/>
      <c r="G13" s="571"/>
      <c r="H13" s="571"/>
      <c r="I13" s="571"/>
      <c r="J13" s="571"/>
      <c r="K13" s="571"/>
      <c r="L13" s="572"/>
      <c r="M13" s="572"/>
      <c r="N13" s="572"/>
      <c r="O13" s="572"/>
      <c r="P13" s="719"/>
      <c r="Q13" s="571"/>
      <c r="R13" s="574"/>
      <c r="S13" s="571"/>
      <c r="T13" s="575"/>
      <c r="U13" s="709"/>
    </row>
    <row r="14" spans="1:21" s="569" customFormat="1" ht="24.75" customHeight="1">
      <c r="A14" s="568"/>
      <c r="C14" s="576" t="s">
        <v>843</v>
      </c>
      <c r="D14" s="571"/>
      <c r="E14" s="571"/>
      <c r="F14" s="571"/>
      <c r="G14" s="571"/>
      <c r="H14" s="571"/>
      <c r="I14" s="571"/>
      <c r="J14" s="571"/>
      <c r="K14" s="571"/>
      <c r="L14" s="572"/>
      <c r="M14" s="572"/>
      <c r="N14" s="572"/>
      <c r="O14" s="572"/>
      <c r="P14" s="720"/>
      <c r="Q14" s="577"/>
      <c r="R14" s="571"/>
      <c r="S14" s="703" t="s">
        <v>178</v>
      </c>
      <c r="T14" s="575"/>
      <c r="U14" s="709"/>
    </row>
    <row r="15" spans="1:21" s="290" customFormat="1" ht="81" customHeight="1">
      <c r="A15" s="781"/>
      <c r="C15" s="1751" t="s">
        <v>547</v>
      </c>
      <c r="D15" s="1751"/>
      <c r="E15" s="1751"/>
      <c r="F15" s="1751"/>
      <c r="G15" s="1751"/>
      <c r="H15" s="782"/>
      <c r="I15" s="782"/>
      <c r="J15" s="782"/>
      <c r="K15" s="782"/>
      <c r="L15" s="783"/>
      <c r="M15" s="783"/>
      <c r="N15" s="783"/>
      <c r="O15" s="783"/>
      <c r="P15" s="784">
        <f>P16</f>
        <v>2356260</v>
      </c>
      <c r="Q15" s="782"/>
      <c r="R15" s="782"/>
      <c r="S15" s="1764" t="s">
        <v>856</v>
      </c>
    </row>
    <row r="16" spans="1:21" s="778" customFormat="1" ht="23.25" customHeight="1">
      <c r="A16" s="777"/>
      <c r="C16" s="827" t="s">
        <v>864</v>
      </c>
      <c r="D16" s="783"/>
      <c r="E16" s="783"/>
      <c r="F16" s="783"/>
      <c r="G16" s="783"/>
      <c r="H16" s="783"/>
      <c r="I16" s="783"/>
      <c r="J16" s="783"/>
      <c r="K16" s="783"/>
      <c r="L16" s="783"/>
      <c r="M16" s="785"/>
      <c r="N16" s="785"/>
      <c r="O16" s="785"/>
      <c r="P16" s="1192">
        <f>SUM(P24,P30,P36,P43,P50,P54,P61,P83,P63,P72)</f>
        <v>2356260</v>
      </c>
      <c r="Q16" s="786"/>
      <c r="R16" s="786"/>
      <c r="S16" s="1764"/>
      <c r="U16" s="787"/>
    </row>
    <row r="17" spans="1:21" s="778" customFormat="1" ht="39" customHeight="1">
      <c r="A17" s="777"/>
      <c r="C17" s="1405" t="s">
        <v>872</v>
      </c>
      <c r="D17" s="783"/>
      <c r="E17" s="783"/>
      <c r="F17" s="783"/>
      <c r="G17" s="789"/>
      <c r="H17" s="789"/>
      <c r="I17" s="789"/>
      <c r="J17" s="789"/>
      <c r="K17" s="789"/>
      <c r="L17" s="790"/>
      <c r="M17" s="790"/>
      <c r="N17" s="790"/>
      <c r="O17" s="789"/>
      <c r="P17" s="815">
        <f>SUM(P18:P23)</f>
        <v>59900</v>
      </c>
      <c r="Q17" s="791"/>
      <c r="R17" s="792"/>
      <c r="S17" s="1764"/>
      <c r="T17" s="793"/>
    </row>
    <row r="18" spans="1:21" s="778" customFormat="1" ht="23.25" customHeight="1">
      <c r="A18" s="777"/>
      <c r="C18" s="404" t="s">
        <v>548</v>
      </c>
      <c r="D18" s="1406"/>
      <c r="E18" s="789"/>
      <c r="F18" s="789"/>
      <c r="G18" s="789"/>
      <c r="H18" s="789"/>
      <c r="I18" s="789"/>
      <c r="J18" s="789"/>
      <c r="K18" s="789"/>
      <c r="L18" s="794">
        <v>2</v>
      </c>
      <c r="M18" s="795" t="s">
        <v>18</v>
      </c>
      <c r="N18" s="796"/>
      <c r="O18" s="794">
        <v>5000</v>
      </c>
      <c r="P18" s="797">
        <f t="shared" ref="P18:P23" si="0">O18*L18</f>
        <v>10000</v>
      </c>
      <c r="Q18" s="798"/>
      <c r="R18" s="799"/>
      <c r="S18" s="1764"/>
      <c r="T18" s="800"/>
    </row>
    <row r="19" spans="1:21" s="778" customFormat="1" ht="23.25" customHeight="1">
      <c r="A19" s="777"/>
      <c r="C19" s="404" t="s">
        <v>549</v>
      </c>
      <c r="D19" s="789"/>
      <c r="E19" s="789"/>
      <c r="F19" s="789"/>
      <c r="G19" s="789"/>
      <c r="H19" s="789"/>
      <c r="I19" s="789"/>
      <c r="J19" s="789"/>
      <c r="K19" s="789"/>
      <c r="L19" s="794">
        <v>200</v>
      </c>
      <c r="M19" s="795" t="s">
        <v>550</v>
      </c>
      <c r="N19" s="796"/>
      <c r="O19" s="794">
        <v>50</v>
      </c>
      <c r="P19" s="797">
        <f t="shared" si="0"/>
        <v>10000</v>
      </c>
      <c r="Q19" s="801"/>
      <c r="R19" s="801"/>
      <c r="S19" s="1765" t="s">
        <v>857</v>
      </c>
      <c r="T19" s="800"/>
    </row>
    <row r="20" spans="1:21" s="778" customFormat="1" ht="23.25" customHeight="1">
      <c r="A20" s="777"/>
      <c r="C20" s="404" t="s">
        <v>551</v>
      </c>
      <c r="D20" s="789"/>
      <c r="E20" s="789"/>
      <c r="F20" s="789"/>
      <c r="G20" s="789"/>
      <c r="H20" s="789"/>
      <c r="I20" s="789"/>
      <c r="J20" s="789"/>
      <c r="K20" s="789"/>
      <c r="L20" s="794">
        <v>100</v>
      </c>
      <c r="M20" s="795" t="s">
        <v>550</v>
      </c>
      <c r="N20" s="796"/>
      <c r="O20" s="794">
        <v>300</v>
      </c>
      <c r="P20" s="797">
        <f t="shared" si="0"/>
        <v>30000</v>
      </c>
      <c r="Q20" s="801"/>
      <c r="R20" s="801"/>
      <c r="S20" s="1765"/>
      <c r="T20" s="800"/>
    </row>
    <row r="21" spans="1:21" s="778" customFormat="1" ht="23.25" customHeight="1">
      <c r="A21" s="777"/>
      <c r="C21" s="1407" t="s">
        <v>552</v>
      </c>
      <c r="D21" s="1406"/>
      <c r="E21" s="789"/>
      <c r="F21" s="789"/>
      <c r="G21" s="789"/>
      <c r="H21" s="789"/>
      <c r="I21" s="789"/>
      <c r="J21" s="789"/>
      <c r="K21" s="789"/>
      <c r="L21" s="794">
        <v>10</v>
      </c>
      <c r="M21" s="795" t="s">
        <v>550</v>
      </c>
      <c r="N21" s="796"/>
      <c r="O21" s="794">
        <v>240</v>
      </c>
      <c r="P21" s="797">
        <f t="shared" si="0"/>
        <v>2400</v>
      </c>
      <c r="Q21" s="801"/>
      <c r="R21" s="801"/>
      <c r="S21" s="1765"/>
      <c r="T21" s="800"/>
    </row>
    <row r="22" spans="1:21" s="778" customFormat="1" ht="23.25" customHeight="1">
      <c r="A22" s="777"/>
      <c r="C22" s="1407" t="s">
        <v>553</v>
      </c>
      <c r="D22" s="1406"/>
      <c r="E22" s="789"/>
      <c r="F22" s="789"/>
      <c r="G22" s="789"/>
      <c r="H22" s="789"/>
      <c r="I22" s="789"/>
      <c r="J22" s="789"/>
      <c r="K22" s="789"/>
      <c r="L22" s="796">
        <v>5</v>
      </c>
      <c r="M22" s="795" t="s">
        <v>550</v>
      </c>
      <c r="N22" s="796"/>
      <c r="O22" s="794">
        <v>800</v>
      </c>
      <c r="P22" s="797">
        <f t="shared" si="0"/>
        <v>4000</v>
      </c>
      <c r="Q22" s="801"/>
      <c r="R22" s="801"/>
      <c r="S22" s="1765"/>
      <c r="T22" s="800"/>
    </row>
    <row r="23" spans="1:21" s="778" customFormat="1" ht="21.75" customHeight="1">
      <c r="A23" s="777"/>
      <c r="C23" s="404" t="s">
        <v>554</v>
      </c>
      <c r="D23" s="789"/>
      <c r="E23" s="789"/>
      <c r="F23" s="789"/>
      <c r="G23" s="789"/>
      <c r="H23" s="789"/>
      <c r="I23" s="789"/>
      <c r="J23" s="789"/>
      <c r="K23" s="789"/>
      <c r="L23" s="794">
        <v>50</v>
      </c>
      <c r="M23" s="795" t="s">
        <v>555</v>
      </c>
      <c r="N23" s="796"/>
      <c r="O23" s="794">
        <v>70</v>
      </c>
      <c r="P23" s="797">
        <f t="shared" si="0"/>
        <v>3500</v>
      </c>
      <c r="Q23" s="799"/>
      <c r="R23" s="799"/>
      <c r="S23" s="1765"/>
      <c r="U23" s="800"/>
    </row>
    <row r="24" spans="1:21" s="778" customFormat="1" ht="1.5" hidden="1" customHeight="1">
      <c r="A24" s="777"/>
      <c r="C24" s="1408"/>
      <c r="D24" s="789"/>
      <c r="E24" s="789"/>
      <c r="F24" s="789"/>
      <c r="G24" s="789"/>
      <c r="H24" s="789"/>
      <c r="I24" s="789"/>
      <c r="J24" s="789"/>
      <c r="K24" s="789"/>
      <c r="L24" s="794"/>
      <c r="M24" s="795"/>
      <c r="N24" s="796"/>
      <c r="O24" s="794"/>
      <c r="P24" s="802">
        <f>SUM(P18:P23)</f>
        <v>59900</v>
      </c>
      <c r="Q24" s="801"/>
      <c r="R24" s="803"/>
      <c r="S24" s="1765"/>
      <c r="T24" s="800"/>
    </row>
    <row r="25" spans="1:21" s="778" customFormat="1" ht="42.75" customHeight="1">
      <c r="A25" s="777"/>
      <c r="C25" s="825" t="s">
        <v>870</v>
      </c>
      <c r="D25" s="789"/>
      <c r="E25" s="789"/>
      <c r="F25" s="789"/>
      <c r="G25" s="789"/>
      <c r="H25" s="789"/>
      <c r="I25" s="789"/>
      <c r="J25" s="789"/>
      <c r="K25" s="789"/>
      <c r="L25" s="1506"/>
      <c r="M25" s="1507"/>
      <c r="N25" s="1508"/>
      <c r="O25" s="1506"/>
      <c r="P25" s="797">
        <f>SUM(P26:P29)</f>
        <v>27700</v>
      </c>
      <c r="Q25" s="801"/>
      <c r="R25" s="801"/>
      <c r="S25" s="1765"/>
      <c r="T25" s="800"/>
    </row>
    <row r="26" spans="1:21" s="778" customFormat="1" ht="23.25" customHeight="1">
      <c r="A26" s="1193"/>
      <c r="B26" s="1404"/>
      <c r="C26" s="1407" t="s">
        <v>556</v>
      </c>
      <c r="D26" s="789"/>
      <c r="E26" s="789"/>
      <c r="F26" s="789"/>
      <c r="G26" s="789"/>
      <c r="H26" s="789"/>
      <c r="I26" s="789"/>
      <c r="J26" s="789"/>
      <c r="K26" s="789"/>
      <c r="L26" s="796">
        <v>3</v>
      </c>
      <c r="M26" s="795" t="s">
        <v>557</v>
      </c>
      <c r="N26" s="796"/>
      <c r="O26" s="794">
        <v>5000</v>
      </c>
      <c r="P26" s="804">
        <f>O26*L26</f>
        <v>15000</v>
      </c>
      <c r="Q26" s="801"/>
      <c r="R26" s="801"/>
      <c r="S26" s="828"/>
    </row>
    <row r="27" spans="1:21" s="778" customFormat="1" ht="23.25" customHeight="1">
      <c r="A27" s="777"/>
      <c r="C27" s="1407" t="s">
        <v>558</v>
      </c>
      <c r="D27" s="789"/>
      <c r="E27" s="789"/>
      <c r="F27" s="805"/>
      <c r="G27" s="805"/>
      <c r="H27" s="805"/>
      <c r="I27" s="805"/>
      <c r="J27" s="805"/>
      <c r="K27" s="805"/>
      <c r="L27" s="779">
        <v>60</v>
      </c>
      <c r="M27" s="795" t="s">
        <v>550</v>
      </c>
      <c r="N27" s="779"/>
      <c r="O27" s="806">
        <v>50</v>
      </c>
      <c r="P27" s="797">
        <f>O27*L27</f>
        <v>3000</v>
      </c>
      <c r="Q27" s="801"/>
      <c r="R27" s="801"/>
      <c r="S27" s="834" t="s">
        <v>187</v>
      </c>
    </row>
    <row r="28" spans="1:21" s="778" customFormat="1" ht="23.25" customHeight="1">
      <c r="A28" s="777"/>
      <c r="C28" s="1407" t="s">
        <v>559</v>
      </c>
      <c r="D28" s="805"/>
      <c r="E28" s="805"/>
      <c r="F28" s="805"/>
      <c r="G28" s="805"/>
      <c r="H28" s="805"/>
      <c r="I28" s="805"/>
      <c r="J28" s="805"/>
      <c r="K28" s="805"/>
      <c r="L28" s="1509">
        <v>30</v>
      </c>
      <c r="M28" s="1510" t="s">
        <v>550</v>
      </c>
      <c r="N28" s="1509"/>
      <c r="O28" s="1511">
        <v>300</v>
      </c>
      <c r="P28" s="797">
        <f>O28*L28</f>
        <v>9000</v>
      </c>
      <c r="Q28" s="807"/>
      <c r="R28" s="808"/>
      <c r="S28" s="1765" t="s">
        <v>1730</v>
      </c>
    </row>
    <row r="29" spans="1:21" s="778" customFormat="1" ht="22.5" customHeight="1">
      <c r="A29" s="777"/>
      <c r="C29" s="1407" t="s">
        <v>560</v>
      </c>
      <c r="D29" s="805"/>
      <c r="E29" s="805"/>
      <c r="F29" s="805"/>
      <c r="G29" s="805"/>
      <c r="H29" s="805"/>
      <c r="I29" s="805"/>
      <c r="J29" s="805"/>
      <c r="K29" s="805"/>
      <c r="L29" s="796">
        <v>10</v>
      </c>
      <c r="M29" s="796" t="s">
        <v>555</v>
      </c>
      <c r="N29" s="796"/>
      <c r="O29" s="794">
        <v>70</v>
      </c>
      <c r="P29" s="797">
        <f>O29*L29</f>
        <v>700</v>
      </c>
      <c r="Q29" s="809"/>
      <c r="R29" s="809"/>
      <c r="S29" s="1765"/>
    </row>
    <row r="30" spans="1:21" s="778" customFormat="1" ht="23.25" hidden="1" customHeight="1">
      <c r="A30" s="777"/>
      <c r="C30" s="1407"/>
      <c r="D30" s="788"/>
      <c r="E30" s="788"/>
      <c r="F30" s="789"/>
      <c r="G30" s="789"/>
      <c r="H30" s="789"/>
      <c r="I30" s="789"/>
      <c r="J30" s="789"/>
      <c r="K30" s="789"/>
      <c r="L30" s="790"/>
      <c r="M30" s="790"/>
      <c r="N30" s="790"/>
      <c r="O30" s="789"/>
      <c r="P30" s="810">
        <f>SUM(P26:P29)</f>
        <v>27700</v>
      </c>
      <c r="Q30" s="811"/>
      <c r="R30" s="811"/>
      <c r="S30" s="1765"/>
      <c r="T30" s="800"/>
    </row>
    <row r="31" spans="1:21" s="778" customFormat="1" ht="63" customHeight="1">
      <c r="A31" s="777"/>
      <c r="C31" s="825" t="s">
        <v>865</v>
      </c>
      <c r="D31" s="1406"/>
      <c r="E31" s="789"/>
      <c r="F31" s="789"/>
      <c r="G31" s="789"/>
      <c r="H31" s="789"/>
      <c r="I31" s="789"/>
      <c r="J31" s="789"/>
      <c r="K31" s="789"/>
      <c r="L31" s="1508"/>
      <c r="M31" s="1507"/>
      <c r="N31" s="1508"/>
      <c r="O31" s="1506"/>
      <c r="P31" s="815">
        <f>SUM(P32:P35)</f>
        <v>28500</v>
      </c>
      <c r="Q31" s="801"/>
      <c r="R31" s="801"/>
      <c r="S31" s="1765"/>
    </row>
    <row r="32" spans="1:21" s="778" customFormat="1" ht="23.25" customHeight="1">
      <c r="A32" s="777"/>
      <c r="C32" s="1407" t="s">
        <v>561</v>
      </c>
      <c r="D32" s="1406"/>
      <c r="E32" s="789"/>
      <c r="F32" s="789"/>
      <c r="G32" s="789"/>
      <c r="H32" s="789"/>
      <c r="I32" s="789"/>
      <c r="J32" s="789"/>
      <c r="K32" s="789"/>
      <c r="L32" s="796">
        <v>1</v>
      </c>
      <c r="M32" s="795" t="s">
        <v>557</v>
      </c>
      <c r="N32" s="796"/>
      <c r="O32" s="794">
        <v>5000</v>
      </c>
      <c r="P32" s="812">
        <f>O32*L32</f>
        <v>5000</v>
      </c>
      <c r="Q32" s="809"/>
      <c r="R32" s="809"/>
      <c r="S32" s="1764" t="s">
        <v>1731</v>
      </c>
    </row>
    <row r="33" spans="1:19" s="778" customFormat="1" ht="23.25" customHeight="1">
      <c r="A33" s="777"/>
      <c r="C33" s="1407" t="s">
        <v>562</v>
      </c>
      <c r="D33" s="1409"/>
      <c r="E33" s="789"/>
      <c r="F33" s="789"/>
      <c r="G33" s="789"/>
      <c r="H33" s="789"/>
      <c r="I33" s="789"/>
      <c r="J33" s="789"/>
      <c r="K33" s="789"/>
      <c r="L33" s="796">
        <v>100</v>
      </c>
      <c r="M33" s="796" t="s">
        <v>550</v>
      </c>
      <c r="N33" s="796"/>
      <c r="O33" s="794">
        <v>50</v>
      </c>
      <c r="P33" s="813">
        <f>O33*L33</f>
        <v>5000</v>
      </c>
      <c r="Q33" s="809"/>
      <c r="R33" s="809"/>
      <c r="S33" s="1764"/>
    </row>
    <row r="34" spans="1:19" s="778" customFormat="1" ht="23.25" customHeight="1">
      <c r="A34" s="777"/>
      <c r="C34" s="1407" t="s">
        <v>563</v>
      </c>
      <c r="D34" s="1409"/>
      <c r="E34" s="789"/>
      <c r="F34" s="789"/>
      <c r="G34" s="789"/>
      <c r="H34" s="789"/>
      <c r="I34" s="789"/>
      <c r="J34" s="789"/>
      <c r="K34" s="789"/>
      <c r="L34" s="794">
        <v>50</v>
      </c>
      <c r="M34" s="795" t="s">
        <v>550</v>
      </c>
      <c r="N34" s="796"/>
      <c r="O34" s="794">
        <v>300</v>
      </c>
      <c r="P34" s="813">
        <f>O34*L34</f>
        <v>15000</v>
      </c>
      <c r="Q34" s="814"/>
      <c r="R34" s="814"/>
      <c r="S34" s="1764"/>
    </row>
    <row r="35" spans="1:19" s="778" customFormat="1" ht="23.25" customHeight="1">
      <c r="A35" s="777"/>
      <c r="C35" s="1407" t="s">
        <v>564</v>
      </c>
      <c r="D35" s="1406"/>
      <c r="E35" s="789"/>
      <c r="F35" s="789"/>
      <c r="G35" s="789"/>
      <c r="H35" s="789"/>
      <c r="I35" s="789"/>
      <c r="J35" s="789"/>
      <c r="K35" s="789"/>
      <c r="L35" s="794">
        <v>50</v>
      </c>
      <c r="M35" s="795" t="s">
        <v>555</v>
      </c>
      <c r="N35" s="796"/>
      <c r="O35" s="794">
        <v>70</v>
      </c>
      <c r="P35" s="797">
        <f>O35*L35</f>
        <v>3500</v>
      </c>
      <c r="Q35" s="801"/>
      <c r="R35" s="801"/>
      <c r="S35" s="1764"/>
    </row>
    <row r="36" spans="1:19" s="778" customFormat="1" ht="23.25" hidden="1" customHeight="1">
      <c r="A36" s="777"/>
      <c r="C36" s="1407"/>
      <c r="D36" s="805"/>
      <c r="E36" s="805"/>
      <c r="F36" s="805"/>
      <c r="G36" s="805"/>
      <c r="H36" s="805"/>
      <c r="I36" s="805"/>
      <c r="J36" s="805"/>
      <c r="K36" s="805"/>
      <c r="L36" s="796"/>
      <c r="M36" s="795"/>
      <c r="N36" s="796"/>
      <c r="O36" s="794"/>
      <c r="P36" s="802">
        <f>SUM(P32:P35)</f>
        <v>28500</v>
      </c>
      <c r="Q36" s="801"/>
      <c r="R36" s="801"/>
      <c r="S36" s="1764"/>
    </row>
    <row r="37" spans="1:19" s="778" customFormat="1" ht="60" customHeight="1">
      <c r="A37" s="777"/>
      <c r="C37" s="825" t="s">
        <v>871</v>
      </c>
      <c r="D37" s="1406"/>
      <c r="E37" s="789"/>
      <c r="F37" s="789"/>
      <c r="G37" s="789"/>
      <c r="H37" s="789"/>
      <c r="I37" s="789"/>
      <c r="J37" s="789"/>
      <c r="K37" s="789"/>
      <c r="L37" s="1506"/>
      <c r="M37" s="1507"/>
      <c r="N37" s="1508"/>
      <c r="O37" s="1506"/>
      <c r="P37" s="815">
        <f>SUM(P39:P42)</f>
        <v>642600</v>
      </c>
      <c r="Q37" s="799"/>
      <c r="R37" s="799"/>
      <c r="S37" s="1764"/>
    </row>
    <row r="38" spans="1:19" s="778" customFormat="1" ht="23.25" hidden="1" customHeight="1">
      <c r="A38" s="777"/>
      <c r="C38" s="825" t="s">
        <v>866</v>
      </c>
      <c r="D38" s="1406"/>
      <c r="E38" s="789"/>
      <c r="F38" s="789"/>
      <c r="G38" s="789"/>
      <c r="H38" s="789"/>
      <c r="I38" s="789"/>
      <c r="J38" s="789"/>
      <c r="K38" s="789"/>
      <c r="L38" s="794"/>
      <c r="M38" s="835"/>
      <c r="N38" s="836"/>
      <c r="O38" s="837"/>
      <c r="P38" s="815"/>
      <c r="Q38" s="814"/>
      <c r="R38" s="814"/>
      <c r="S38" s="1764"/>
    </row>
    <row r="39" spans="1:19" s="778" customFormat="1" ht="23.25" customHeight="1">
      <c r="A39" s="777"/>
      <c r="C39" s="1505" t="s">
        <v>565</v>
      </c>
      <c r="D39" s="1406"/>
      <c r="E39" s="789"/>
      <c r="F39" s="789"/>
      <c r="G39" s="789"/>
      <c r="H39" s="789"/>
      <c r="I39" s="789"/>
      <c r="J39" s="789"/>
      <c r="K39" s="789"/>
      <c r="L39" s="794">
        <v>540</v>
      </c>
      <c r="M39" s="795" t="s">
        <v>550</v>
      </c>
      <c r="N39" s="796"/>
      <c r="O39" s="794">
        <v>240</v>
      </c>
      <c r="P39" s="797">
        <f>O39*L39</f>
        <v>129600</v>
      </c>
      <c r="Q39" s="801"/>
      <c r="R39" s="801"/>
      <c r="S39" s="1764"/>
    </row>
    <row r="40" spans="1:19" s="778" customFormat="1" ht="23.25" customHeight="1">
      <c r="A40" s="777"/>
      <c r="C40" s="1407" t="s">
        <v>566</v>
      </c>
      <c r="D40" s="1406"/>
      <c r="E40" s="789"/>
      <c r="F40" s="789"/>
      <c r="G40" s="789"/>
      <c r="H40" s="789"/>
      <c r="I40" s="789"/>
      <c r="J40" s="789"/>
      <c r="K40" s="789"/>
      <c r="L40" s="796">
        <v>270</v>
      </c>
      <c r="M40" s="795" t="s">
        <v>550</v>
      </c>
      <c r="N40" s="796"/>
      <c r="O40" s="794">
        <v>800</v>
      </c>
      <c r="P40" s="797">
        <f>O40*L40</f>
        <v>216000</v>
      </c>
      <c r="Q40" s="801"/>
      <c r="R40" s="801"/>
      <c r="S40" s="1764"/>
    </row>
    <row r="41" spans="1:19" s="778" customFormat="1" ht="23.25" customHeight="1">
      <c r="A41" s="777"/>
      <c r="C41" s="1407" t="s">
        <v>567</v>
      </c>
      <c r="D41" s="1406"/>
      <c r="E41" s="789"/>
      <c r="F41" s="789"/>
      <c r="G41" s="789"/>
      <c r="H41" s="789"/>
      <c r="I41" s="789"/>
      <c r="J41" s="789"/>
      <c r="K41" s="789"/>
      <c r="L41" s="796">
        <v>108</v>
      </c>
      <c r="M41" s="796" t="s">
        <v>568</v>
      </c>
      <c r="N41" s="796"/>
      <c r="O41" s="794">
        <v>2500</v>
      </c>
      <c r="P41" s="797">
        <f>O41*L41</f>
        <v>270000</v>
      </c>
      <c r="Q41" s="801"/>
      <c r="R41" s="801"/>
      <c r="S41" s="1764"/>
    </row>
    <row r="42" spans="1:19" s="778" customFormat="1" ht="22.5" customHeight="1">
      <c r="A42" s="777"/>
      <c r="C42" s="1407" t="s">
        <v>569</v>
      </c>
      <c r="D42" s="1406"/>
      <c r="E42" s="789"/>
      <c r="F42" s="789"/>
      <c r="G42" s="789"/>
      <c r="H42" s="789"/>
      <c r="I42" s="789"/>
      <c r="J42" s="789"/>
      <c r="K42" s="789"/>
      <c r="L42" s="796">
        <v>9</v>
      </c>
      <c r="M42" s="796" t="s">
        <v>557</v>
      </c>
      <c r="N42" s="796"/>
      <c r="O42" s="794">
        <v>3000</v>
      </c>
      <c r="P42" s="797">
        <f>O42*L42</f>
        <v>27000</v>
      </c>
      <c r="Q42" s="801"/>
      <c r="R42" s="801"/>
      <c r="S42" s="1764"/>
    </row>
    <row r="43" spans="1:19" s="778" customFormat="1" ht="0.75" hidden="1" customHeight="1">
      <c r="A43" s="777"/>
      <c r="C43" s="1407"/>
      <c r="D43" s="1406"/>
      <c r="E43" s="789"/>
      <c r="F43" s="789"/>
      <c r="G43" s="789"/>
      <c r="H43" s="789"/>
      <c r="I43" s="789"/>
      <c r="J43" s="789"/>
      <c r="K43" s="789"/>
      <c r="L43" s="796"/>
      <c r="M43" s="796"/>
      <c r="N43" s="796"/>
      <c r="O43" s="794"/>
      <c r="P43" s="815">
        <f>SUM(P39:P42)</f>
        <v>642600</v>
      </c>
      <c r="Q43" s="801"/>
      <c r="R43" s="801"/>
      <c r="S43" s="828"/>
    </row>
    <row r="44" spans="1:19" s="778" customFormat="1" ht="23.25" hidden="1" customHeight="1">
      <c r="A44" s="777"/>
      <c r="C44" s="1407"/>
      <c r="D44" s="1406"/>
      <c r="E44" s="789"/>
      <c r="F44" s="789"/>
      <c r="G44" s="789"/>
      <c r="H44" s="789"/>
      <c r="I44" s="789"/>
      <c r="J44" s="789"/>
      <c r="K44" s="789"/>
      <c r="L44" s="794"/>
      <c r="M44" s="795"/>
      <c r="N44" s="796"/>
      <c r="O44" s="794"/>
      <c r="P44" s="797"/>
      <c r="Q44" s="801"/>
      <c r="R44" s="801"/>
      <c r="S44" s="828"/>
    </row>
    <row r="45" spans="1:19" s="778" customFormat="1" ht="40.5" customHeight="1">
      <c r="A45" s="777"/>
      <c r="C45" s="825" t="s">
        <v>867</v>
      </c>
      <c r="D45" s="805"/>
      <c r="E45" s="805"/>
      <c r="F45" s="805"/>
      <c r="G45" s="805"/>
      <c r="H45" s="805"/>
      <c r="I45" s="805"/>
      <c r="J45" s="805"/>
      <c r="K45" s="805"/>
      <c r="L45" s="1508"/>
      <c r="M45" s="1507"/>
      <c r="N45" s="1508"/>
      <c r="O45" s="1506"/>
      <c r="P45" s="1512">
        <f>SUM(P46:P49)</f>
        <v>1053000</v>
      </c>
      <c r="Q45" s="1513"/>
      <c r="R45" s="801"/>
      <c r="S45" s="828"/>
    </row>
    <row r="46" spans="1:19" s="778" customFormat="1" ht="23.25" customHeight="1">
      <c r="A46" s="777"/>
      <c r="C46" s="1505" t="s">
        <v>570</v>
      </c>
      <c r="D46" s="1406"/>
      <c r="E46" s="789"/>
      <c r="F46" s="789"/>
      <c r="G46" s="789"/>
      <c r="H46" s="789"/>
      <c r="I46" s="789"/>
      <c r="J46" s="789"/>
      <c r="K46" s="789"/>
      <c r="L46" s="794">
        <v>900</v>
      </c>
      <c r="M46" s="795" t="s">
        <v>550</v>
      </c>
      <c r="N46" s="796"/>
      <c r="O46" s="794">
        <v>240</v>
      </c>
      <c r="P46" s="797">
        <f>O46*L46</f>
        <v>216000</v>
      </c>
      <c r="Q46" s="799"/>
      <c r="R46" s="799"/>
      <c r="S46" s="828"/>
    </row>
    <row r="47" spans="1:19" s="778" customFormat="1" ht="23.25" customHeight="1">
      <c r="A47" s="777"/>
      <c r="C47" s="1505" t="s">
        <v>571</v>
      </c>
      <c r="D47" s="1406"/>
      <c r="E47" s="789"/>
      <c r="F47" s="789"/>
      <c r="G47" s="789"/>
      <c r="H47" s="789"/>
      <c r="I47" s="789"/>
      <c r="J47" s="789"/>
      <c r="K47" s="789"/>
      <c r="L47" s="794">
        <v>450</v>
      </c>
      <c r="M47" s="795" t="s">
        <v>550</v>
      </c>
      <c r="N47" s="796"/>
      <c r="O47" s="794">
        <v>800</v>
      </c>
      <c r="P47" s="797">
        <f>O47*L47</f>
        <v>360000</v>
      </c>
      <c r="Q47" s="814"/>
      <c r="R47" s="814"/>
      <c r="S47" s="828"/>
    </row>
    <row r="48" spans="1:19" s="778" customFormat="1" ht="23.25" customHeight="1">
      <c r="A48" s="777"/>
      <c r="C48" s="1407" t="s">
        <v>572</v>
      </c>
      <c r="D48" s="1406"/>
      <c r="E48" s="789"/>
      <c r="F48" s="789"/>
      <c r="G48" s="789"/>
      <c r="H48" s="789"/>
      <c r="I48" s="789"/>
      <c r="J48" s="789"/>
      <c r="K48" s="789"/>
      <c r="L48" s="796">
        <v>180</v>
      </c>
      <c r="M48" s="796" t="s">
        <v>568</v>
      </c>
      <c r="N48" s="796"/>
      <c r="O48" s="794">
        <v>2500</v>
      </c>
      <c r="P48" s="813">
        <f>O48*L48</f>
        <v>450000</v>
      </c>
      <c r="Q48" s="809"/>
      <c r="R48" s="809"/>
      <c r="S48" s="828"/>
    </row>
    <row r="49" spans="1:19" s="778" customFormat="1" ht="23.25" customHeight="1">
      <c r="A49" s="1193"/>
      <c r="B49" s="1404"/>
      <c r="C49" s="1407" t="s">
        <v>569</v>
      </c>
      <c r="D49" s="1406"/>
      <c r="E49" s="789"/>
      <c r="F49" s="789"/>
      <c r="G49" s="789"/>
      <c r="H49" s="789"/>
      <c r="I49" s="789"/>
      <c r="J49" s="789"/>
      <c r="K49" s="789"/>
      <c r="L49" s="796">
        <v>9</v>
      </c>
      <c r="M49" s="796" t="s">
        <v>557</v>
      </c>
      <c r="N49" s="796"/>
      <c r="O49" s="794">
        <v>3000</v>
      </c>
      <c r="P49" s="812">
        <f>O49*L49</f>
        <v>27000</v>
      </c>
      <c r="Q49" s="809"/>
      <c r="R49" s="809"/>
      <c r="S49" s="828"/>
    </row>
    <row r="50" spans="1:19" s="778" customFormat="1" ht="23.25" hidden="1" customHeight="1">
      <c r="A50" s="777"/>
      <c r="C50" s="1407"/>
      <c r="D50" s="1406"/>
      <c r="E50" s="789"/>
      <c r="F50" s="789"/>
      <c r="G50" s="789"/>
      <c r="H50" s="789"/>
      <c r="I50" s="789"/>
      <c r="J50" s="789"/>
      <c r="K50" s="789"/>
      <c r="L50" s="796"/>
      <c r="M50" s="796"/>
      <c r="N50" s="796"/>
      <c r="O50" s="794"/>
      <c r="P50" s="1191">
        <f>SUM(P46:P49)</f>
        <v>1053000</v>
      </c>
      <c r="Q50" s="809"/>
      <c r="R50" s="809"/>
      <c r="S50" s="828"/>
    </row>
    <row r="51" spans="1:19" s="778" customFormat="1" ht="23.25" hidden="1" customHeight="1">
      <c r="A51" s="777"/>
      <c r="C51" s="1407"/>
      <c r="D51" s="1406"/>
      <c r="E51" s="789"/>
      <c r="F51" s="789"/>
      <c r="G51" s="789"/>
      <c r="H51" s="789"/>
      <c r="I51" s="789"/>
      <c r="J51" s="789"/>
      <c r="K51" s="789"/>
      <c r="L51" s="794"/>
      <c r="M51" s="795"/>
      <c r="N51" s="796"/>
      <c r="O51" s="794"/>
      <c r="P51" s="813"/>
      <c r="Q51" s="809"/>
      <c r="R51" s="809"/>
      <c r="S51" s="828"/>
    </row>
    <row r="52" spans="1:19" s="778" customFormat="1" ht="39.75" customHeight="1">
      <c r="A52" s="777"/>
      <c r="C52" s="825" t="s">
        <v>868</v>
      </c>
      <c r="D52" s="805"/>
      <c r="E52" s="805"/>
      <c r="F52" s="805"/>
      <c r="G52" s="805"/>
      <c r="H52" s="805"/>
      <c r="I52" s="805"/>
      <c r="J52" s="805"/>
      <c r="K52" s="805"/>
      <c r="L52" s="1508"/>
      <c r="M52" s="1507"/>
      <c r="N52" s="1508"/>
      <c r="O52" s="1506"/>
      <c r="P52" s="815">
        <f>SUM(P53)</f>
        <v>250000</v>
      </c>
      <c r="Q52" s="809"/>
      <c r="R52" s="809"/>
      <c r="S52" s="828"/>
    </row>
    <row r="53" spans="1:19" s="778" customFormat="1" ht="23.25" customHeight="1">
      <c r="A53" s="777"/>
      <c r="C53" s="1407" t="s">
        <v>573</v>
      </c>
      <c r="D53" s="1406"/>
      <c r="E53" s="789"/>
      <c r="F53" s="789"/>
      <c r="G53" s="789"/>
      <c r="H53" s="789"/>
      <c r="I53" s="789"/>
      <c r="J53" s="789"/>
      <c r="K53" s="789"/>
      <c r="L53" s="794">
        <v>1000</v>
      </c>
      <c r="M53" s="795" t="s">
        <v>574</v>
      </c>
      <c r="N53" s="796"/>
      <c r="O53" s="794">
        <v>250</v>
      </c>
      <c r="P53" s="813">
        <f>O53*L53</f>
        <v>250000</v>
      </c>
      <c r="Q53" s="816"/>
      <c r="R53" s="816"/>
      <c r="S53" s="828"/>
    </row>
    <row r="54" spans="1:19" s="778" customFormat="1" ht="0.75" hidden="1" customHeight="1">
      <c r="A54" s="777"/>
      <c r="C54" s="1407"/>
      <c r="D54" s="1406"/>
      <c r="E54" s="789"/>
      <c r="F54" s="789"/>
      <c r="G54" s="789"/>
      <c r="H54" s="789"/>
      <c r="I54" s="789"/>
      <c r="J54" s="789"/>
      <c r="K54" s="789"/>
      <c r="L54" s="794"/>
      <c r="M54" s="795"/>
      <c r="N54" s="796"/>
      <c r="O54" s="794"/>
      <c r="P54" s="815">
        <f>SUM(P53)</f>
        <v>250000</v>
      </c>
      <c r="Q54" s="817"/>
      <c r="R54" s="817"/>
      <c r="S54" s="828"/>
    </row>
    <row r="55" spans="1:19" s="778" customFormat="1" ht="23.25" hidden="1" customHeight="1">
      <c r="A55" s="777"/>
      <c r="C55" s="1407"/>
      <c r="D55" s="1406"/>
      <c r="E55" s="789"/>
      <c r="F55" s="789"/>
      <c r="G55" s="789"/>
      <c r="H55" s="789"/>
      <c r="I55" s="789"/>
      <c r="J55" s="789"/>
      <c r="K55" s="789"/>
      <c r="L55" s="794"/>
      <c r="M55" s="795"/>
      <c r="N55" s="796"/>
      <c r="O55" s="794"/>
      <c r="P55" s="815"/>
      <c r="Q55" s="817"/>
      <c r="R55" s="817"/>
      <c r="S55" s="828"/>
    </row>
    <row r="56" spans="1:19" s="778" customFormat="1" ht="59.25" customHeight="1">
      <c r="A56" s="777"/>
      <c r="C56" s="825" t="s">
        <v>869</v>
      </c>
      <c r="D56" s="1406"/>
      <c r="E56" s="789"/>
      <c r="F56" s="789"/>
      <c r="G56" s="789"/>
      <c r="H56" s="789"/>
      <c r="I56" s="789"/>
      <c r="J56" s="789"/>
      <c r="K56" s="789"/>
      <c r="L56" s="1506"/>
      <c r="M56" s="1507"/>
      <c r="N56" s="1508"/>
      <c r="O56" s="1506"/>
      <c r="P56" s="815">
        <f>SUM(P57:P60)</f>
        <v>130160</v>
      </c>
      <c r="Q56" s="799"/>
      <c r="R56" s="799"/>
      <c r="S56" s="828"/>
    </row>
    <row r="57" spans="1:19" s="778" customFormat="1" ht="23.25" customHeight="1">
      <c r="A57" s="777"/>
      <c r="C57" s="1407" t="s">
        <v>575</v>
      </c>
      <c r="D57" s="789"/>
      <c r="E57" s="789"/>
      <c r="F57" s="789"/>
      <c r="G57" s="789"/>
      <c r="H57" s="789"/>
      <c r="I57" s="789"/>
      <c r="J57" s="789"/>
      <c r="K57" s="789"/>
      <c r="L57" s="794">
        <v>144</v>
      </c>
      <c r="M57" s="795" t="s">
        <v>550</v>
      </c>
      <c r="N57" s="796"/>
      <c r="O57" s="794">
        <v>240</v>
      </c>
      <c r="P57" s="797">
        <f>O57*L57</f>
        <v>34560</v>
      </c>
      <c r="Q57" s="801"/>
      <c r="R57" s="801"/>
      <c r="S57" s="828"/>
    </row>
    <row r="58" spans="1:19" s="778" customFormat="1" ht="23.25" customHeight="1">
      <c r="A58" s="777"/>
      <c r="C58" s="1407" t="s">
        <v>576</v>
      </c>
      <c r="D58" s="1406"/>
      <c r="E58" s="789"/>
      <c r="F58" s="789"/>
      <c r="G58" s="789"/>
      <c r="H58" s="789"/>
      <c r="I58" s="789"/>
      <c r="J58" s="789"/>
      <c r="K58" s="789"/>
      <c r="L58" s="794">
        <v>72</v>
      </c>
      <c r="M58" s="795" t="s">
        <v>550</v>
      </c>
      <c r="N58" s="796"/>
      <c r="O58" s="794">
        <v>800</v>
      </c>
      <c r="P58" s="797">
        <f>O58*L58</f>
        <v>57600</v>
      </c>
      <c r="Q58" s="818"/>
      <c r="R58" s="818"/>
      <c r="S58" s="828"/>
    </row>
    <row r="59" spans="1:19" s="778" customFormat="1" ht="23.25" customHeight="1">
      <c r="A59" s="777"/>
      <c r="C59" s="1407" t="s">
        <v>577</v>
      </c>
      <c r="D59" s="805"/>
      <c r="E59" s="805"/>
      <c r="F59" s="805"/>
      <c r="G59" s="805"/>
      <c r="H59" s="805"/>
      <c r="I59" s="805"/>
      <c r="J59" s="805"/>
      <c r="K59" s="805"/>
      <c r="L59" s="796">
        <v>18</v>
      </c>
      <c r="M59" s="795" t="s">
        <v>578</v>
      </c>
      <c r="N59" s="796"/>
      <c r="O59" s="794">
        <v>2000</v>
      </c>
      <c r="P59" s="804">
        <f>O59*L59</f>
        <v>36000</v>
      </c>
      <c r="Q59" s="801"/>
      <c r="R59" s="801"/>
      <c r="S59" s="828"/>
    </row>
    <row r="60" spans="1:19" s="778" customFormat="1" ht="22.5" customHeight="1">
      <c r="A60" s="777"/>
      <c r="C60" s="1407" t="s">
        <v>579</v>
      </c>
      <c r="D60" s="1406"/>
      <c r="E60" s="789"/>
      <c r="F60" s="789"/>
      <c r="G60" s="789"/>
      <c r="H60" s="789"/>
      <c r="I60" s="789"/>
      <c r="J60" s="789"/>
      <c r="K60" s="789"/>
      <c r="L60" s="794">
        <v>4</v>
      </c>
      <c r="M60" s="795" t="s">
        <v>385</v>
      </c>
      <c r="N60" s="796"/>
      <c r="O60" s="794">
        <v>500</v>
      </c>
      <c r="P60" s="797">
        <f>O60*L60</f>
        <v>2000</v>
      </c>
      <c r="Q60" s="803"/>
      <c r="R60" s="799"/>
      <c r="S60" s="828"/>
    </row>
    <row r="61" spans="1:19" s="778" customFormat="1" ht="23.25" hidden="1" customHeight="1">
      <c r="A61" s="777"/>
      <c r="C61" s="1407"/>
      <c r="D61" s="1406"/>
      <c r="E61" s="789"/>
      <c r="F61" s="789"/>
      <c r="G61" s="789"/>
      <c r="H61" s="789"/>
      <c r="I61" s="789"/>
      <c r="J61" s="789"/>
      <c r="K61" s="789"/>
      <c r="L61" s="794"/>
      <c r="M61" s="795"/>
      <c r="N61" s="796"/>
      <c r="O61" s="794"/>
      <c r="P61" s="802">
        <f>SUM(P57:P60)</f>
        <v>130160</v>
      </c>
      <c r="Q61" s="817"/>
      <c r="R61" s="819"/>
      <c r="S61" s="828"/>
    </row>
    <row r="62" spans="1:19" s="778" customFormat="1" ht="23.25" hidden="1" customHeight="1">
      <c r="A62" s="777"/>
      <c r="C62" s="1407"/>
      <c r="D62" s="1406"/>
      <c r="E62" s="789"/>
      <c r="F62" s="789"/>
      <c r="G62" s="789"/>
      <c r="H62" s="789"/>
      <c r="I62" s="789"/>
      <c r="J62" s="789"/>
      <c r="K62" s="789"/>
      <c r="L62" s="794"/>
      <c r="M62" s="795"/>
      <c r="N62" s="796"/>
      <c r="O62" s="794"/>
      <c r="P62" s="802"/>
      <c r="Q62" s="817"/>
      <c r="R62" s="819"/>
      <c r="S62" s="828"/>
    </row>
    <row r="63" spans="1:19" s="778" customFormat="1" ht="23.25" customHeight="1">
      <c r="A63" s="777"/>
      <c r="C63" s="825" t="s">
        <v>855</v>
      </c>
      <c r="D63" s="1406"/>
      <c r="E63" s="789"/>
      <c r="F63" s="789"/>
      <c r="G63" s="789"/>
      <c r="H63" s="789"/>
      <c r="I63" s="789"/>
      <c r="J63" s="789"/>
      <c r="K63" s="789"/>
      <c r="L63" s="1506"/>
      <c r="M63" s="1507"/>
      <c r="N63" s="1508"/>
      <c r="O63" s="1506"/>
      <c r="P63" s="815">
        <f>SUM(P64:P71)</f>
        <v>107200</v>
      </c>
      <c r="Q63" s="801"/>
      <c r="R63" s="801"/>
      <c r="S63" s="828"/>
    </row>
    <row r="64" spans="1:19" s="778" customFormat="1" ht="23.25" customHeight="1">
      <c r="A64" s="777"/>
      <c r="C64" s="1407" t="s">
        <v>580</v>
      </c>
      <c r="D64" s="1406"/>
      <c r="E64" s="789"/>
      <c r="F64" s="789"/>
      <c r="G64" s="789"/>
      <c r="H64" s="789"/>
      <c r="I64" s="789"/>
      <c r="J64" s="789"/>
      <c r="K64" s="789"/>
      <c r="L64" s="794">
        <v>1</v>
      </c>
      <c r="M64" s="795" t="s">
        <v>557</v>
      </c>
      <c r="N64" s="796"/>
      <c r="O64" s="794">
        <v>5000</v>
      </c>
      <c r="P64" s="804">
        <f t="shared" ref="P64:P71" si="1">O64*L64</f>
        <v>5000</v>
      </c>
      <c r="Q64" s="799"/>
      <c r="R64" s="799"/>
      <c r="S64" s="828"/>
    </row>
    <row r="65" spans="1:20" s="778" customFormat="1" ht="23.25" customHeight="1">
      <c r="A65" s="777"/>
      <c r="C65" s="1407" t="s">
        <v>581</v>
      </c>
      <c r="D65" s="1409"/>
      <c r="E65" s="789"/>
      <c r="F65" s="789"/>
      <c r="G65" s="789"/>
      <c r="H65" s="789"/>
      <c r="I65" s="789"/>
      <c r="J65" s="789"/>
      <c r="K65" s="789"/>
      <c r="L65" s="794">
        <v>1</v>
      </c>
      <c r="M65" s="795" t="s">
        <v>557</v>
      </c>
      <c r="N65" s="796"/>
      <c r="O65" s="794">
        <v>5000</v>
      </c>
      <c r="P65" s="804">
        <f t="shared" si="1"/>
        <v>5000</v>
      </c>
      <c r="Q65" s="801"/>
      <c r="R65" s="801"/>
      <c r="S65" s="828"/>
    </row>
    <row r="66" spans="1:20" s="778" customFormat="1" ht="23.25" customHeight="1">
      <c r="A66" s="777"/>
      <c r="C66" s="1407" t="s">
        <v>582</v>
      </c>
      <c r="D66" s="789"/>
      <c r="E66" s="789"/>
      <c r="F66" s="789"/>
      <c r="G66" s="789"/>
      <c r="H66" s="789"/>
      <c r="I66" s="789"/>
      <c r="J66" s="789"/>
      <c r="K66" s="789"/>
      <c r="L66" s="794">
        <v>1</v>
      </c>
      <c r="M66" s="795" t="s">
        <v>557</v>
      </c>
      <c r="N66" s="796"/>
      <c r="O66" s="794">
        <v>20000</v>
      </c>
      <c r="P66" s="804">
        <f t="shared" si="1"/>
        <v>20000</v>
      </c>
      <c r="Q66" s="801"/>
      <c r="R66" s="801"/>
      <c r="S66" s="828"/>
    </row>
    <row r="67" spans="1:20" s="778" customFormat="1" ht="23.25" customHeight="1">
      <c r="A67" s="777"/>
      <c r="C67" s="1407" t="s">
        <v>583</v>
      </c>
      <c r="D67" s="1406"/>
      <c r="E67" s="789"/>
      <c r="F67" s="789"/>
      <c r="G67" s="789"/>
      <c r="H67" s="789"/>
      <c r="I67" s="789"/>
      <c r="J67" s="789"/>
      <c r="K67" s="789"/>
      <c r="L67" s="794">
        <v>21</v>
      </c>
      <c r="M67" s="795" t="s">
        <v>550</v>
      </c>
      <c r="N67" s="796"/>
      <c r="O67" s="794">
        <v>1200</v>
      </c>
      <c r="P67" s="797">
        <f t="shared" si="1"/>
        <v>25200</v>
      </c>
      <c r="Q67" s="818"/>
      <c r="R67" s="818"/>
      <c r="S67" s="828"/>
    </row>
    <row r="68" spans="1:20" s="778" customFormat="1" ht="23.25" customHeight="1">
      <c r="A68" s="777"/>
      <c r="C68" s="1407" t="s">
        <v>584</v>
      </c>
      <c r="D68" s="805"/>
      <c r="E68" s="805"/>
      <c r="F68" s="805"/>
      <c r="G68" s="805"/>
      <c r="H68" s="805"/>
      <c r="I68" s="805"/>
      <c r="J68" s="805"/>
      <c r="K68" s="805"/>
      <c r="L68" s="796">
        <v>100</v>
      </c>
      <c r="M68" s="795" t="s">
        <v>550</v>
      </c>
      <c r="N68" s="796"/>
      <c r="O68" s="794">
        <v>50</v>
      </c>
      <c r="P68" s="797">
        <f t="shared" si="1"/>
        <v>5000</v>
      </c>
      <c r="Q68" s="801"/>
      <c r="R68" s="820"/>
      <c r="S68" s="828"/>
    </row>
    <row r="69" spans="1:20" s="778" customFormat="1" ht="23.25" customHeight="1">
      <c r="A69" s="777"/>
      <c r="C69" s="1407" t="s">
        <v>585</v>
      </c>
      <c r="D69" s="1406"/>
      <c r="E69" s="789"/>
      <c r="F69" s="789"/>
      <c r="G69" s="789"/>
      <c r="H69" s="789"/>
      <c r="I69" s="789"/>
      <c r="J69" s="789"/>
      <c r="K69" s="789"/>
      <c r="L69" s="794">
        <v>1</v>
      </c>
      <c r="M69" s="795" t="s">
        <v>557</v>
      </c>
      <c r="N69" s="796"/>
      <c r="O69" s="794">
        <v>10000</v>
      </c>
      <c r="P69" s="797">
        <f t="shared" si="1"/>
        <v>10000</v>
      </c>
      <c r="Q69" s="799"/>
      <c r="R69" s="799"/>
      <c r="S69" s="828"/>
    </row>
    <row r="70" spans="1:20" s="778" customFormat="1" ht="23.25" customHeight="1">
      <c r="A70" s="777"/>
      <c r="C70" s="1407" t="s">
        <v>586</v>
      </c>
      <c r="D70" s="1406"/>
      <c r="E70" s="789"/>
      <c r="F70" s="789"/>
      <c r="G70" s="789"/>
      <c r="H70" s="789"/>
      <c r="I70" s="789"/>
      <c r="J70" s="789"/>
      <c r="K70" s="789"/>
      <c r="L70" s="794">
        <v>100</v>
      </c>
      <c r="M70" s="795" t="s">
        <v>550</v>
      </c>
      <c r="N70" s="796"/>
      <c r="O70" s="794">
        <v>300</v>
      </c>
      <c r="P70" s="797">
        <f t="shared" si="1"/>
        <v>30000</v>
      </c>
      <c r="Q70" s="814"/>
      <c r="R70" s="814"/>
      <c r="S70" s="828"/>
    </row>
    <row r="71" spans="1:20" s="778" customFormat="1" ht="23.25" customHeight="1">
      <c r="A71" s="777"/>
      <c r="C71" s="1407" t="s">
        <v>587</v>
      </c>
      <c r="D71" s="1406"/>
      <c r="E71" s="789"/>
      <c r="F71" s="789"/>
      <c r="G71" s="789"/>
      <c r="H71" s="789"/>
      <c r="I71" s="789"/>
      <c r="J71" s="789"/>
      <c r="K71" s="789"/>
      <c r="L71" s="794">
        <v>100</v>
      </c>
      <c r="M71" s="795" t="s">
        <v>555</v>
      </c>
      <c r="N71" s="796"/>
      <c r="O71" s="794">
        <v>70</v>
      </c>
      <c r="P71" s="797">
        <f t="shared" si="1"/>
        <v>7000</v>
      </c>
      <c r="Q71" s="801"/>
      <c r="R71" s="801"/>
      <c r="S71" s="828"/>
    </row>
    <row r="72" spans="1:20" s="778" customFormat="1" ht="23.25" customHeight="1">
      <c r="A72" s="777"/>
      <c r="C72" s="825" t="s">
        <v>588</v>
      </c>
      <c r="D72" s="1406"/>
      <c r="E72" s="789"/>
      <c r="F72" s="789"/>
      <c r="G72" s="789"/>
      <c r="H72" s="789"/>
      <c r="I72" s="789"/>
      <c r="J72" s="789"/>
      <c r="K72" s="789"/>
      <c r="L72" s="1508"/>
      <c r="M72" s="1507"/>
      <c r="N72" s="1508"/>
      <c r="O72" s="1506"/>
      <c r="P72" s="815">
        <f>SUM(P74:P81)</f>
        <v>53000</v>
      </c>
      <c r="Q72" s="801"/>
      <c r="R72" s="801"/>
      <c r="S72" s="828"/>
    </row>
    <row r="73" spans="1:20" s="778" customFormat="1" ht="23.25" customHeight="1">
      <c r="A73" s="777"/>
      <c r="C73" s="1410" t="s">
        <v>589</v>
      </c>
      <c r="D73" s="780"/>
      <c r="E73" s="780"/>
      <c r="F73" s="780"/>
      <c r="G73" s="780"/>
      <c r="H73" s="780"/>
      <c r="I73" s="780"/>
      <c r="J73" s="780"/>
      <c r="K73" s="780"/>
      <c r="L73" s="779"/>
      <c r="M73" s="795"/>
      <c r="N73" s="779"/>
      <c r="O73" s="806"/>
      <c r="P73" s="797"/>
      <c r="Q73" s="801"/>
      <c r="R73" s="801"/>
      <c r="S73" s="828"/>
    </row>
    <row r="74" spans="1:20" s="778" customFormat="1" ht="23.25" customHeight="1">
      <c r="A74" s="777"/>
      <c r="C74" s="414" t="s">
        <v>590</v>
      </c>
      <c r="D74" s="805"/>
      <c r="E74" s="805"/>
      <c r="F74" s="805"/>
      <c r="G74" s="805"/>
      <c r="H74" s="805"/>
      <c r="I74" s="805"/>
      <c r="J74" s="805"/>
      <c r="K74" s="805"/>
      <c r="L74" s="1509">
        <v>10</v>
      </c>
      <c r="M74" s="1510" t="s">
        <v>457</v>
      </c>
      <c r="N74" s="1509"/>
      <c r="O74" s="1511">
        <v>500</v>
      </c>
      <c r="P74" s="797">
        <f>O74*L74</f>
        <v>5000</v>
      </c>
      <c r="Q74" s="821"/>
      <c r="R74" s="821"/>
      <c r="S74" s="828"/>
    </row>
    <row r="75" spans="1:20" s="778" customFormat="1" ht="23.25" customHeight="1">
      <c r="A75" s="1193"/>
      <c r="B75" s="1404"/>
      <c r="C75" s="414" t="s">
        <v>591</v>
      </c>
      <c r="D75" s="805"/>
      <c r="E75" s="805"/>
      <c r="F75" s="805"/>
      <c r="G75" s="805"/>
      <c r="H75" s="805"/>
      <c r="I75" s="805"/>
      <c r="J75" s="805"/>
      <c r="K75" s="805"/>
      <c r="L75" s="1509">
        <v>10</v>
      </c>
      <c r="M75" s="1510" t="s">
        <v>457</v>
      </c>
      <c r="N75" s="1509"/>
      <c r="O75" s="1511">
        <v>800</v>
      </c>
      <c r="P75" s="797">
        <f>O75*L75</f>
        <v>8000</v>
      </c>
      <c r="Q75" s="809"/>
      <c r="R75" s="809"/>
      <c r="S75" s="828"/>
    </row>
    <row r="76" spans="1:20" s="778" customFormat="1" ht="23.25" customHeight="1">
      <c r="A76" s="1412"/>
      <c r="C76" s="414" t="s">
        <v>592</v>
      </c>
      <c r="D76" s="805"/>
      <c r="E76" s="805"/>
      <c r="F76" s="805"/>
      <c r="G76" s="805"/>
      <c r="H76" s="805"/>
      <c r="I76" s="805"/>
      <c r="J76" s="805"/>
      <c r="K76" s="805"/>
      <c r="L76" s="1509">
        <v>10</v>
      </c>
      <c r="M76" s="1510" t="s">
        <v>457</v>
      </c>
      <c r="N76" s="1509"/>
      <c r="O76" s="1511">
        <v>800</v>
      </c>
      <c r="P76" s="797">
        <f t="shared" ref="P76:P81" si="2">O76*L76</f>
        <v>8000</v>
      </c>
      <c r="Q76" s="809"/>
      <c r="R76" s="809"/>
      <c r="S76" s="828"/>
    </row>
    <row r="77" spans="1:20" s="778" customFormat="1" ht="23.25" customHeight="1">
      <c r="A77" s="777"/>
      <c r="C77" s="1411" t="s">
        <v>593</v>
      </c>
      <c r="D77" s="805"/>
      <c r="E77" s="805"/>
      <c r="F77" s="805"/>
      <c r="G77" s="805"/>
      <c r="H77" s="805"/>
      <c r="I77" s="805"/>
      <c r="J77" s="805"/>
      <c r="K77" s="805"/>
      <c r="L77" s="1509">
        <v>10</v>
      </c>
      <c r="M77" s="1510" t="s">
        <v>457</v>
      </c>
      <c r="N77" s="1509"/>
      <c r="O77" s="1511">
        <v>800</v>
      </c>
      <c r="P77" s="797">
        <f>O77*L77</f>
        <v>8000</v>
      </c>
      <c r="Q77" s="822"/>
      <c r="R77" s="822"/>
      <c r="S77" s="828"/>
    </row>
    <row r="78" spans="1:20" s="778" customFormat="1" ht="23.25" customHeight="1">
      <c r="A78" s="777"/>
      <c r="C78" s="415" t="s">
        <v>21</v>
      </c>
      <c r="D78" s="805"/>
      <c r="E78" s="805"/>
      <c r="F78" s="805"/>
      <c r="G78" s="805"/>
      <c r="H78" s="805"/>
      <c r="I78" s="789"/>
      <c r="J78" s="789"/>
      <c r="K78" s="789"/>
      <c r="L78" s="1514"/>
      <c r="M78" s="1510"/>
      <c r="N78" s="1514"/>
      <c r="O78" s="1514"/>
      <c r="P78" s="797"/>
      <c r="Q78" s="811"/>
      <c r="R78" s="811"/>
      <c r="S78" s="828"/>
      <c r="T78" s="800"/>
    </row>
    <row r="79" spans="1:20" s="778" customFormat="1" ht="23.25" customHeight="1">
      <c r="A79" s="777"/>
      <c r="C79" s="414" t="s">
        <v>594</v>
      </c>
      <c r="D79" s="805"/>
      <c r="E79" s="805"/>
      <c r="F79" s="805"/>
      <c r="G79" s="805"/>
      <c r="H79" s="805"/>
      <c r="I79" s="805"/>
      <c r="J79" s="805"/>
      <c r="K79" s="805"/>
      <c r="L79" s="779">
        <v>10</v>
      </c>
      <c r="M79" s="795" t="s">
        <v>457</v>
      </c>
      <c r="N79" s="779"/>
      <c r="O79" s="806">
        <v>800</v>
      </c>
      <c r="P79" s="797">
        <f>O79*L79</f>
        <v>8000</v>
      </c>
      <c r="Q79" s="823"/>
      <c r="R79" s="823"/>
      <c r="S79" s="828"/>
    </row>
    <row r="80" spans="1:20" s="778" customFormat="1" ht="23.25" customHeight="1">
      <c r="A80" s="777"/>
      <c r="C80" s="414" t="s">
        <v>595</v>
      </c>
      <c r="D80" s="1406"/>
      <c r="E80" s="789"/>
      <c r="F80" s="789"/>
      <c r="G80" s="789"/>
      <c r="H80" s="789"/>
      <c r="I80" s="789"/>
      <c r="J80" s="789"/>
      <c r="K80" s="789"/>
      <c r="L80" s="794">
        <v>10</v>
      </c>
      <c r="M80" s="795" t="s">
        <v>457</v>
      </c>
      <c r="N80" s="796"/>
      <c r="O80" s="794">
        <v>800</v>
      </c>
      <c r="P80" s="797">
        <f>O80*L80</f>
        <v>8000</v>
      </c>
      <c r="Q80" s="824"/>
      <c r="R80" s="799"/>
      <c r="S80" s="828"/>
      <c r="T80" s="800"/>
    </row>
    <row r="81" spans="1:19" s="778" customFormat="1" ht="23.25" customHeight="1">
      <c r="A81" s="777"/>
      <c r="C81" s="414" t="s">
        <v>596</v>
      </c>
      <c r="D81" s="1409"/>
      <c r="E81" s="789"/>
      <c r="F81" s="789"/>
      <c r="G81" s="789"/>
      <c r="H81" s="789"/>
      <c r="I81" s="789"/>
      <c r="J81" s="789"/>
      <c r="K81" s="789"/>
      <c r="L81" s="794">
        <v>10</v>
      </c>
      <c r="M81" s="795" t="s">
        <v>457</v>
      </c>
      <c r="N81" s="796"/>
      <c r="O81" s="794">
        <v>800</v>
      </c>
      <c r="P81" s="797">
        <f t="shared" si="2"/>
        <v>8000</v>
      </c>
      <c r="Q81" s="801"/>
      <c r="R81" s="801"/>
      <c r="S81" s="828"/>
    </row>
    <row r="82" spans="1:19" s="778" customFormat="1" ht="23.25" customHeight="1">
      <c r="A82" s="777"/>
      <c r="C82" s="825" t="s">
        <v>597</v>
      </c>
      <c r="D82" s="1406"/>
      <c r="E82" s="789"/>
      <c r="F82" s="789"/>
      <c r="G82" s="789"/>
      <c r="H82" s="789"/>
      <c r="I82" s="789"/>
      <c r="J82" s="789"/>
      <c r="K82" s="789"/>
      <c r="L82" s="794">
        <v>1</v>
      </c>
      <c r="M82" s="795" t="s">
        <v>18</v>
      </c>
      <c r="N82" s="796"/>
      <c r="O82" s="794">
        <v>4850</v>
      </c>
      <c r="P82" s="797">
        <v>4200</v>
      </c>
      <c r="Q82" s="818"/>
      <c r="R82" s="818"/>
      <c r="S82" s="828"/>
    </row>
    <row r="83" spans="1:19" s="778" customFormat="1" ht="23.25" customHeight="1">
      <c r="A83" s="1193"/>
      <c r="B83" s="1193"/>
      <c r="C83" s="782"/>
      <c r="D83" s="805"/>
      <c r="E83" s="805"/>
      <c r="F83" s="805"/>
      <c r="G83" s="805"/>
      <c r="H83" s="805"/>
      <c r="I83" s="805"/>
      <c r="J83" s="805"/>
      <c r="K83" s="805"/>
      <c r="L83" s="796"/>
      <c r="M83" s="795"/>
      <c r="N83" s="796"/>
      <c r="O83" s="794"/>
      <c r="P83" s="815">
        <f>SUM(P82)</f>
        <v>4200</v>
      </c>
      <c r="Q83" s="801"/>
      <c r="R83" s="801"/>
      <c r="S83" s="828"/>
    </row>
    <row r="84" spans="1:19" s="290" customFormat="1" ht="21.75">
      <c r="C84" s="40"/>
      <c r="D84" s="154"/>
      <c r="E84" s="154"/>
      <c r="F84" s="154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829"/>
    </row>
    <row r="85" spans="1:19" s="290" customFormat="1" ht="21.75">
      <c r="C85" s="826" t="s">
        <v>171</v>
      </c>
      <c r="D85" s="156" t="s">
        <v>172</v>
      </c>
      <c r="E85" s="156"/>
      <c r="F85" s="156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829"/>
    </row>
    <row r="86" spans="1:19" s="290" customFormat="1" ht="21.75">
      <c r="D86" s="290" t="s">
        <v>466</v>
      </c>
      <c r="S86" s="271"/>
    </row>
  </sheetData>
  <mergeCells count="22">
    <mergeCell ref="S32:S42"/>
    <mergeCell ref="S15:S18"/>
    <mergeCell ref="S19:S25"/>
    <mergeCell ref="S28:S31"/>
    <mergeCell ref="L7:L8"/>
    <mergeCell ref="M7:M8"/>
    <mergeCell ref="N7:N8"/>
    <mergeCell ref="C15:G15"/>
    <mergeCell ref="O7:O8"/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10"/>
    <mergeCell ref="P7:P8"/>
    <mergeCell ref="H7:H8"/>
    <mergeCell ref="I7:K8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26"/>
  <sheetViews>
    <sheetView topLeftCell="A3" zoomScale="140" zoomScaleNormal="140" zoomScaleSheetLayoutView="110" workbookViewId="0">
      <selection activeCell="N20" sqref="N20"/>
    </sheetView>
  </sheetViews>
  <sheetFormatPr defaultRowHeight="18.75"/>
  <cols>
    <col min="1" max="1" width="4.5" style="286" customWidth="1"/>
    <col min="2" max="2" width="5" style="286" customWidth="1"/>
    <col min="3" max="3" width="41.75" style="286" customWidth="1"/>
    <col min="4" max="7" width="6" style="286" customWidth="1"/>
    <col min="8" max="8" width="7.625" style="286" customWidth="1"/>
    <col min="9" max="9" width="5.25" style="286" customWidth="1"/>
    <col min="10" max="11" width="4.75" style="286" customWidth="1"/>
    <col min="12" max="12" width="7.375" style="350" customWidth="1"/>
    <col min="13" max="13" width="8.5" style="351" customWidth="1"/>
    <col min="14" max="14" width="6.875" style="286" customWidth="1"/>
    <col min="15" max="15" width="9.625" style="286" customWidth="1"/>
    <col min="16" max="16" width="10.5" style="286" customWidth="1"/>
    <col min="17" max="17" width="5.875" style="286" customWidth="1"/>
    <col min="18" max="18" width="7.625" style="286" customWidth="1"/>
    <col min="19" max="19" width="26.625" style="286" customWidth="1"/>
    <col min="20" max="20" width="14.125" style="286" bestFit="1" customWidth="1"/>
    <col min="21" max="21" width="8.75" style="286" bestFit="1" customWidth="1"/>
    <col min="22" max="264" width="9" style="286"/>
    <col min="265" max="265" width="29" style="286" customWidth="1"/>
    <col min="266" max="268" width="9.25" style="286" customWidth="1"/>
    <col min="269" max="269" width="10.375" style="286" customWidth="1"/>
    <col min="270" max="270" width="9.625" style="286" customWidth="1"/>
    <col min="271" max="271" width="9.25" style="286" customWidth="1"/>
    <col min="272" max="272" width="8.375" style="286" customWidth="1"/>
    <col min="273" max="273" width="10.375" style="286" customWidth="1"/>
    <col min="274" max="274" width="14.625" style="286" customWidth="1"/>
    <col min="275" max="275" width="28.375" style="286" customWidth="1"/>
    <col min="276" max="276" width="14.125" style="286" bestFit="1" customWidth="1"/>
    <col min="277" max="277" width="8.75" style="286" bestFit="1" customWidth="1"/>
    <col min="278" max="520" width="9" style="286"/>
    <col min="521" max="521" width="29" style="286" customWidth="1"/>
    <col min="522" max="524" width="9.25" style="286" customWidth="1"/>
    <col min="525" max="525" width="10.375" style="286" customWidth="1"/>
    <col min="526" max="526" width="9.625" style="286" customWidth="1"/>
    <col min="527" max="527" width="9.25" style="286" customWidth="1"/>
    <col min="528" max="528" width="8.375" style="286" customWidth="1"/>
    <col min="529" max="529" width="10.375" style="286" customWidth="1"/>
    <col min="530" max="530" width="14.625" style="286" customWidth="1"/>
    <col min="531" max="531" width="28.375" style="286" customWidth="1"/>
    <col min="532" max="532" width="14.125" style="286" bestFit="1" customWidth="1"/>
    <col min="533" max="533" width="8.75" style="286" bestFit="1" customWidth="1"/>
    <col min="534" max="776" width="9" style="286"/>
    <col min="777" max="777" width="29" style="286" customWidth="1"/>
    <col min="778" max="780" width="9.25" style="286" customWidth="1"/>
    <col min="781" max="781" width="10.375" style="286" customWidth="1"/>
    <col min="782" max="782" width="9.625" style="286" customWidth="1"/>
    <col min="783" max="783" width="9.25" style="286" customWidth="1"/>
    <col min="784" max="784" width="8.375" style="286" customWidth="1"/>
    <col min="785" max="785" width="10.375" style="286" customWidth="1"/>
    <col min="786" max="786" width="14.625" style="286" customWidth="1"/>
    <col min="787" max="787" width="28.375" style="286" customWidth="1"/>
    <col min="788" max="788" width="14.125" style="286" bestFit="1" customWidth="1"/>
    <col min="789" max="789" width="8.75" style="286" bestFit="1" customWidth="1"/>
    <col min="790" max="1032" width="9" style="286"/>
    <col min="1033" max="1033" width="29" style="286" customWidth="1"/>
    <col min="1034" max="1036" width="9.25" style="286" customWidth="1"/>
    <col min="1037" max="1037" width="10.375" style="286" customWidth="1"/>
    <col min="1038" max="1038" width="9.625" style="286" customWidth="1"/>
    <col min="1039" max="1039" width="9.25" style="286" customWidth="1"/>
    <col min="1040" max="1040" width="8.375" style="286" customWidth="1"/>
    <col min="1041" max="1041" width="10.375" style="286" customWidth="1"/>
    <col min="1042" max="1042" width="14.625" style="286" customWidth="1"/>
    <col min="1043" max="1043" width="28.375" style="286" customWidth="1"/>
    <col min="1044" max="1044" width="14.125" style="286" bestFit="1" customWidth="1"/>
    <col min="1045" max="1045" width="8.75" style="286" bestFit="1" customWidth="1"/>
    <col min="1046" max="1288" width="9" style="286"/>
    <col min="1289" max="1289" width="29" style="286" customWidth="1"/>
    <col min="1290" max="1292" width="9.25" style="286" customWidth="1"/>
    <col min="1293" max="1293" width="10.375" style="286" customWidth="1"/>
    <col min="1294" max="1294" width="9.625" style="286" customWidth="1"/>
    <col min="1295" max="1295" width="9.25" style="286" customWidth="1"/>
    <col min="1296" max="1296" width="8.375" style="286" customWidth="1"/>
    <col min="1297" max="1297" width="10.375" style="286" customWidth="1"/>
    <col min="1298" max="1298" width="14.625" style="286" customWidth="1"/>
    <col min="1299" max="1299" width="28.375" style="286" customWidth="1"/>
    <col min="1300" max="1300" width="14.125" style="286" bestFit="1" customWidth="1"/>
    <col min="1301" max="1301" width="8.75" style="286" bestFit="1" customWidth="1"/>
    <col min="1302" max="1544" width="9" style="286"/>
    <col min="1545" max="1545" width="29" style="286" customWidth="1"/>
    <col min="1546" max="1548" width="9.25" style="286" customWidth="1"/>
    <col min="1549" max="1549" width="10.375" style="286" customWidth="1"/>
    <col min="1550" max="1550" width="9.625" style="286" customWidth="1"/>
    <col min="1551" max="1551" width="9.25" style="286" customWidth="1"/>
    <col min="1552" max="1552" width="8.375" style="286" customWidth="1"/>
    <col min="1553" max="1553" width="10.375" style="286" customWidth="1"/>
    <col min="1554" max="1554" width="14.625" style="286" customWidth="1"/>
    <col min="1555" max="1555" width="28.375" style="286" customWidth="1"/>
    <col min="1556" max="1556" width="14.125" style="286" bestFit="1" customWidth="1"/>
    <col min="1557" max="1557" width="8.75" style="286" bestFit="1" customWidth="1"/>
    <col min="1558" max="1800" width="9" style="286"/>
    <col min="1801" max="1801" width="29" style="286" customWidth="1"/>
    <col min="1802" max="1804" width="9.25" style="286" customWidth="1"/>
    <col min="1805" max="1805" width="10.375" style="286" customWidth="1"/>
    <col min="1806" max="1806" width="9.625" style="286" customWidth="1"/>
    <col min="1807" max="1807" width="9.25" style="286" customWidth="1"/>
    <col min="1808" max="1808" width="8.375" style="286" customWidth="1"/>
    <col min="1809" max="1809" width="10.375" style="286" customWidth="1"/>
    <col min="1810" max="1810" width="14.625" style="286" customWidth="1"/>
    <col min="1811" max="1811" width="28.375" style="286" customWidth="1"/>
    <col min="1812" max="1812" width="14.125" style="286" bestFit="1" customWidth="1"/>
    <col min="1813" max="1813" width="8.75" style="286" bestFit="1" customWidth="1"/>
    <col min="1814" max="2056" width="9" style="286"/>
    <col min="2057" max="2057" width="29" style="286" customWidth="1"/>
    <col min="2058" max="2060" width="9.25" style="286" customWidth="1"/>
    <col min="2061" max="2061" width="10.375" style="286" customWidth="1"/>
    <col min="2062" max="2062" width="9.625" style="286" customWidth="1"/>
    <col min="2063" max="2063" width="9.25" style="286" customWidth="1"/>
    <col min="2064" max="2064" width="8.375" style="286" customWidth="1"/>
    <col min="2065" max="2065" width="10.375" style="286" customWidth="1"/>
    <col min="2066" max="2066" width="14.625" style="286" customWidth="1"/>
    <col min="2067" max="2067" width="28.375" style="286" customWidth="1"/>
    <col min="2068" max="2068" width="14.125" style="286" bestFit="1" customWidth="1"/>
    <col min="2069" max="2069" width="8.75" style="286" bestFit="1" customWidth="1"/>
    <col min="2070" max="2312" width="9" style="286"/>
    <col min="2313" max="2313" width="29" style="286" customWidth="1"/>
    <col min="2314" max="2316" width="9.25" style="286" customWidth="1"/>
    <col min="2317" max="2317" width="10.375" style="286" customWidth="1"/>
    <col min="2318" max="2318" width="9.625" style="286" customWidth="1"/>
    <col min="2319" max="2319" width="9.25" style="286" customWidth="1"/>
    <col min="2320" max="2320" width="8.375" style="286" customWidth="1"/>
    <col min="2321" max="2321" width="10.375" style="286" customWidth="1"/>
    <col min="2322" max="2322" width="14.625" style="286" customWidth="1"/>
    <col min="2323" max="2323" width="28.375" style="286" customWidth="1"/>
    <col min="2324" max="2324" width="14.125" style="286" bestFit="1" customWidth="1"/>
    <col min="2325" max="2325" width="8.75" style="286" bestFit="1" customWidth="1"/>
    <col min="2326" max="2568" width="9" style="286"/>
    <col min="2569" max="2569" width="29" style="286" customWidth="1"/>
    <col min="2570" max="2572" width="9.25" style="286" customWidth="1"/>
    <col min="2573" max="2573" width="10.375" style="286" customWidth="1"/>
    <col min="2574" max="2574" width="9.625" style="286" customWidth="1"/>
    <col min="2575" max="2575" width="9.25" style="286" customWidth="1"/>
    <col min="2576" max="2576" width="8.375" style="286" customWidth="1"/>
    <col min="2577" max="2577" width="10.375" style="286" customWidth="1"/>
    <col min="2578" max="2578" width="14.625" style="286" customWidth="1"/>
    <col min="2579" max="2579" width="28.375" style="286" customWidth="1"/>
    <col min="2580" max="2580" width="14.125" style="286" bestFit="1" customWidth="1"/>
    <col min="2581" max="2581" width="8.75" style="286" bestFit="1" customWidth="1"/>
    <col min="2582" max="2824" width="9" style="286"/>
    <col min="2825" max="2825" width="29" style="286" customWidth="1"/>
    <col min="2826" max="2828" width="9.25" style="286" customWidth="1"/>
    <col min="2829" max="2829" width="10.375" style="286" customWidth="1"/>
    <col min="2830" max="2830" width="9.625" style="286" customWidth="1"/>
    <col min="2831" max="2831" width="9.25" style="286" customWidth="1"/>
    <col min="2832" max="2832" width="8.375" style="286" customWidth="1"/>
    <col min="2833" max="2833" width="10.375" style="286" customWidth="1"/>
    <col min="2834" max="2834" width="14.625" style="286" customWidth="1"/>
    <col min="2835" max="2835" width="28.375" style="286" customWidth="1"/>
    <col min="2836" max="2836" width="14.125" style="286" bestFit="1" customWidth="1"/>
    <col min="2837" max="2837" width="8.75" style="286" bestFit="1" customWidth="1"/>
    <col min="2838" max="3080" width="9" style="286"/>
    <col min="3081" max="3081" width="29" style="286" customWidth="1"/>
    <col min="3082" max="3084" width="9.25" style="286" customWidth="1"/>
    <col min="3085" max="3085" width="10.375" style="286" customWidth="1"/>
    <col min="3086" max="3086" width="9.625" style="286" customWidth="1"/>
    <col min="3087" max="3087" width="9.25" style="286" customWidth="1"/>
    <col min="3088" max="3088" width="8.375" style="286" customWidth="1"/>
    <col min="3089" max="3089" width="10.375" style="286" customWidth="1"/>
    <col min="3090" max="3090" width="14.625" style="286" customWidth="1"/>
    <col min="3091" max="3091" width="28.375" style="286" customWidth="1"/>
    <col min="3092" max="3092" width="14.125" style="286" bestFit="1" customWidth="1"/>
    <col min="3093" max="3093" width="8.75" style="286" bestFit="1" customWidth="1"/>
    <col min="3094" max="3336" width="9" style="286"/>
    <col min="3337" max="3337" width="29" style="286" customWidth="1"/>
    <col min="3338" max="3340" width="9.25" style="286" customWidth="1"/>
    <col min="3341" max="3341" width="10.375" style="286" customWidth="1"/>
    <col min="3342" max="3342" width="9.625" style="286" customWidth="1"/>
    <col min="3343" max="3343" width="9.25" style="286" customWidth="1"/>
    <col min="3344" max="3344" width="8.375" style="286" customWidth="1"/>
    <col min="3345" max="3345" width="10.375" style="286" customWidth="1"/>
    <col min="3346" max="3346" width="14.625" style="286" customWidth="1"/>
    <col min="3347" max="3347" width="28.375" style="286" customWidth="1"/>
    <col min="3348" max="3348" width="14.125" style="286" bestFit="1" customWidth="1"/>
    <col min="3349" max="3349" width="8.75" style="286" bestFit="1" customWidth="1"/>
    <col min="3350" max="3592" width="9" style="286"/>
    <col min="3593" max="3593" width="29" style="286" customWidth="1"/>
    <col min="3594" max="3596" width="9.25" style="286" customWidth="1"/>
    <col min="3597" max="3597" width="10.375" style="286" customWidth="1"/>
    <col min="3598" max="3598" width="9.625" style="286" customWidth="1"/>
    <col min="3599" max="3599" width="9.25" style="286" customWidth="1"/>
    <col min="3600" max="3600" width="8.375" style="286" customWidth="1"/>
    <col min="3601" max="3601" width="10.375" style="286" customWidth="1"/>
    <col min="3602" max="3602" width="14.625" style="286" customWidth="1"/>
    <col min="3603" max="3603" width="28.375" style="286" customWidth="1"/>
    <col min="3604" max="3604" width="14.125" style="286" bestFit="1" customWidth="1"/>
    <col min="3605" max="3605" width="8.75" style="286" bestFit="1" customWidth="1"/>
    <col min="3606" max="3848" width="9" style="286"/>
    <col min="3849" max="3849" width="29" style="286" customWidth="1"/>
    <col min="3850" max="3852" width="9.25" style="286" customWidth="1"/>
    <col min="3853" max="3853" width="10.375" style="286" customWidth="1"/>
    <col min="3854" max="3854" width="9.625" style="286" customWidth="1"/>
    <col min="3855" max="3855" width="9.25" style="286" customWidth="1"/>
    <col min="3856" max="3856" width="8.375" style="286" customWidth="1"/>
    <col min="3857" max="3857" width="10.375" style="286" customWidth="1"/>
    <col min="3858" max="3858" width="14.625" style="286" customWidth="1"/>
    <col min="3859" max="3859" width="28.375" style="286" customWidth="1"/>
    <col min="3860" max="3860" width="14.125" style="286" bestFit="1" customWidth="1"/>
    <col min="3861" max="3861" width="8.75" style="286" bestFit="1" customWidth="1"/>
    <col min="3862" max="4104" width="9" style="286"/>
    <col min="4105" max="4105" width="29" style="286" customWidth="1"/>
    <col min="4106" max="4108" width="9.25" style="286" customWidth="1"/>
    <col min="4109" max="4109" width="10.375" style="286" customWidth="1"/>
    <col min="4110" max="4110" width="9.625" style="286" customWidth="1"/>
    <col min="4111" max="4111" width="9.25" style="286" customWidth="1"/>
    <col min="4112" max="4112" width="8.375" style="286" customWidth="1"/>
    <col min="4113" max="4113" width="10.375" style="286" customWidth="1"/>
    <col min="4114" max="4114" width="14.625" style="286" customWidth="1"/>
    <col min="4115" max="4115" width="28.375" style="286" customWidth="1"/>
    <col min="4116" max="4116" width="14.125" style="286" bestFit="1" customWidth="1"/>
    <col min="4117" max="4117" width="8.75" style="286" bestFit="1" customWidth="1"/>
    <col min="4118" max="4360" width="9" style="286"/>
    <col min="4361" max="4361" width="29" style="286" customWidth="1"/>
    <col min="4362" max="4364" width="9.25" style="286" customWidth="1"/>
    <col min="4365" max="4365" width="10.375" style="286" customWidth="1"/>
    <col min="4366" max="4366" width="9.625" style="286" customWidth="1"/>
    <col min="4367" max="4367" width="9.25" style="286" customWidth="1"/>
    <col min="4368" max="4368" width="8.375" style="286" customWidth="1"/>
    <col min="4369" max="4369" width="10.375" style="286" customWidth="1"/>
    <col min="4370" max="4370" width="14.625" style="286" customWidth="1"/>
    <col min="4371" max="4371" width="28.375" style="286" customWidth="1"/>
    <col min="4372" max="4372" width="14.125" style="286" bestFit="1" customWidth="1"/>
    <col min="4373" max="4373" width="8.75" style="286" bestFit="1" customWidth="1"/>
    <col min="4374" max="4616" width="9" style="286"/>
    <col min="4617" max="4617" width="29" style="286" customWidth="1"/>
    <col min="4618" max="4620" width="9.25" style="286" customWidth="1"/>
    <col min="4621" max="4621" width="10.375" style="286" customWidth="1"/>
    <col min="4622" max="4622" width="9.625" style="286" customWidth="1"/>
    <col min="4623" max="4623" width="9.25" style="286" customWidth="1"/>
    <col min="4624" max="4624" width="8.375" style="286" customWidth="1"/>
    <col min="4625" max="4625" width="10.375" style="286" customWidth="1"/>
    <col min="4626" max="4626" width="14.625" style="286" customWidth="1"/>
    <col min="4627" max="4627" width="28.375" style="286" customWidth="1"/>
    <col min="4628" max="4628" width="14.125" style="286" bestFit="1" customWidth="1"/>
    <col min="4629" max="4629" width="8.75" style="286" bestFit="1" customWidth="1"/>
    <col min="4630" max="4872" width="9" style="286"/>
    <col min="4873" max="4873" width="29" style="286" customWidth="1"/>
    <col min="4874" max="4876" width="9.25" style="286" customWidth="1"/>
    <col min="4877" max="4877" width="10.375" style="286" customWidth="1"/>
    <col min="4878" max="4878" width="9.625" style="286" customWidth="1"/>
    <col min="4879" max="4879" width="9.25" style="286" customWidth="1"/>
    <col min="4880" max="4880" width="8.375" style="286" customWidth="1"/>
    <col min="4881" max="4881" width="10.375" style="286" customWidth="1"/>
    <col min="4882" max="4882" width="14.625" style="286" customWidth="1"/>
    <col min="4883" max="4883" width="28.375" style="286" customWidth="1"/>
    <col min="4884" max="4884" width="14.125" style="286" bestFit="1" customWidth="1"/>
    <col min="4885" max="4885" width="8.75" style="286" bestFit="1" customWidth="1"/>
    <col min="4886" max="5128" width="9" style="286"/>
    <col min="5129" max="5129" width="29" style="286" customWidth="1"/>
    <col min="5130" max="5132" width="9.25" style="286" customWidth="1"/>
    <col min="5133" max="5133" width="10.375" style="286" customWidth="1"/>
    <col min="5134" max="5134" width="9.625" style="286" customWidth="1"/>
    <col min="5135" max="5135" width="9.25" style="286" customWidth="1"/>
    <col min="5136" max="5136" width="8.375" style="286" customWidth="1"/>
    <col min="5137" max="5137" width="10.375" style="286" customWidth="1"/>
    <col min="5138" max="5138" width="14.625" style="286" customWidth="1"/>
    <col min="5139" max="5139" width="28.375" style="286" customWidth="1"/>
    <col min="5140" max="5140" width="14.125" style="286" bestFit="1" customWidth="1"/>
    <col min="5141" max="5141" width="8.75" style="286" bestFit="1" customWidth="1"/>
    <col min="5142" max="5384" width="9" style="286"/>
    <col min="5385" max="5385" width="29" style="286" customWidth="1"/>
    <col min="5386" max="5388" width="9.25" style="286" customWidth="1"/>
    <col min="5389" max="5389" width="10.375" style="286" customWidth="1"/>
    <col min="5390" max="5390" width="9.625" style="286" customWidth="1"/>
    <col min="5391" max="5391" width="9.25" style="286" customWidth="1"/>
    <col min="5392" max="5392" width="8.375" style="286" customWidth="1"/>
    <col min="5393" max="5393" width="10.375" style="286" customWidth="1"/>
    <col min="5394" max="5394" width="14.625" style="286" customWidth="1"/>
    <col min="5395" max="5395" width="28.375" style="286" customWidth="1"/>
    <col min="5396" max="5396" width="14.125" style="286" bestFit="1" customWidth="1"/>
    <col min="5397" max="5397" width="8.75" style="286" bestFit="1" customWidth="1"/>
    <col min="5398" max="5640" width="9" style="286"/>
    <col min="5641" max="5641" width="29" style="286" customWidth="1"/>
    <col min="5642" max="5644" width="9.25" style="286" customWidth="1"/>
    <col min="5645" max="5645" width="10.375" style="286" customWidth="1"/>
    <col min="5646" max="5646" width="9.625" style="286" customWidth="1"/>
    <col min="5647" max="5647" width="9.25" style="286" customWidth="1"/>
    <col min="5648" max="5648" width="8.375" style="286" customWidth="1"/>
    <col min="5649" max="5649" width="10.375" style="286" customWidth="1"/>
    <col min="5650" max="5650" width="14.625" style="286" customWidth="1"/>
    <col min="5651" max="5651" width="28.375" style="286" customWidth="1"/>
    <col min="5652" max="5652" width="14.125" style="286" bestFit="1" customWidth="1"/>
    <col min="5653" max="5653" width="8.75" style="286" bestFit="1" customWidth="1"/>
    <col min="5654" max="5896" width="9" style="286"/>
    <col min="5897" max="5897" width="29" style="286" customWidth="1"/>
    <col min="5898" max="5900" width="9.25" style="286" customWidth="1"/>
    <col min="5901" max="5901" width="10.375" style="286" customWidth="1"/>
    <col min="5902" max="5902" width="9.625" style="286" customWidth="1"/>
    <col min="5903" max="5903" width="9.25" style="286" customWidth="1"/>
    <col min="5904" max="5904" width="8.375" style="286" customWidth="1"/>
    <col min="5905" max="5905" width="10.375" style="286" customWidth="1"/>
    <col min="5906" max="5906" width="14.625" style="286" customWidth="1"/>
    <col min="5907" max="5907" width="28.375" style="286" customWidth="1"/>
    <col min="5908" max="5908" width="14.125" style="286" bestFit="1" customWidth="1"/>
    <col min="5909" max="5909" width="8.75" style="286" bestFit="1" customWidth="1"/>
    <col min="5910" max="6152" width="9" style="286"/>
    <col min="6153" max="6153" width="29" style="286" customWidth="1"/>
    <col min="6154" max="6156" width="9.25" style="286" customWidth="1"/>
    <col min="6157" max="6157" width="10.375" style="286" customWidth="1"/>
    <col min="6158" max="6158" width="9.625" style="286" customWidth="1"/>
    <col min="6159" max="6159" width="9.25" style="286" customWidth="1"/>
    <col min="6160" max="6160" width="8.375" style="286" customWidth="1"/>
    <col min="6161" max="6161" width="10.375" style="286" customWidth="1"/>
    <col min="6162" max="6162" width="14.625" style="286" customWidth="1"/>
    <col min="6163" max="6163" width="28.375" style="286" customWidth="1"/>
    <col min="6164" max="6164" width="14.125" style="286" bestFit="1" customWidth="1"/>
    <col min="6165" max="6165" width="8.75" style="286" bestFit="1" customWidth="1"/>
    <col min="6166" max="6408" width="9" style="286"/>
    <col min="6409" max="6409" width="29" style="286" customWidth="1"/>
    <col min="6410" max="6412" width="9.25" style="286" customWidth="1"/>
    <col min="6413" max="6413" width="10.375" style="286" customWidth="1"/>
    <col min="6414" max="6414" width="9.625" style="286" customWidth="1"/>
    <col min="6415" max="6415" width="9.25" style="286" customWidth="1"/>
    <col min="6416" max="6416" width="8.375" style="286" customWidth="1"/>
    <col min="6417" max="6417" width="10.375" style="286" customWidth="1"/>
    <col min="6418" max="6418" width="14.625" style="286" customWidth="1"/>
    <col min="6419" max="6419" width="28.375" style="286" customWidth="1"/>
    <col min="6420" max="6420" width="14.125" style="286" bestFit="1" customWidth="1"/>
    <col min="6421" max="6421" width="8.75" style="286" bestFit="1" customWidth="1"/>
    <col min="6422" max="6664" width="9" style="286"/>
    <col min="6665" max="6665" width="29" style="286" customWidth="1"/>
    <col min="6666" max="6668" width="9.25" style="286" customWidth="1"/>
    <col min="6669" max="6669" width="10.375" style="286" customWidth="1"/>
    <col min="6670" max="6670" width="9.625" style="286" customWidth="1"/>
    <col min="6671" max="6671" width="9.25" style="286" customWidth="1"/>
    <col min="6672" max="6672" width="8.375" style="286" customWidth="1"/>
    <col min="6673" max="6673" width="10.375" style="286" customWidth="1"/>
    <col min="6674" max="6674" width="14.625" style="286" customWidth="1"/>
    <col min="6675" max="6675" width="28.375" style="286" customWidth="1"/>
    <col min="6676" max="6676" width="14.125" style="286" bestFit="1" customWidth="1"/>
    <col min="6677" max="6677" width="8.75" style="286" bestFit="1" customWidth="1"/>
    <col min="6678" max="6920" width="9" style="286"/>
    <col min="6921" max="6921" width="29" style="286" customWidth="1"/>
    <col min="6922" max="6924" width="9.25" style="286" customWidth="1"/>
    <col min="6925" max="6925" width="10.375" style="286" customWidth="1"/>
    <col min="6926" max="6926" width="9.625" style="286" customWidth="1"/>
    <col min="6927" max="6927" width="9.25" style="286" customWidth="1"/>
    <col min="6928" max="6928" width="8.375" style="286" customWidth="1"/>
    <col min="6929" max="6929" width="10.375" style="286" customWidth="1"/>
    <col min="6930" max="6930" width="14.625" style="286" customWidth="1"/>
    <col min="6931" max="6931" width="28.375" style="286" customWidth="1"/>
    <col min="6932" max="6932" width="14.125" style="286" bestFit="1" customWidth="1"/>
    <col min="6933" max="6933" width="8.75" style="286" bestFit="1" customWidth="1"/>
    <col min="6934" max="7176" width="9" style="286"/>
    <col min="7177" max="7177" width="29" style="286" customWidth="1"/>
    <col min="7178" max="7180" width="9.25" style="286" customWidth="1"/>
    <col min="7181" max="7181" width="10.375" style="286" customWidth="1"/>
    <col min="7182" max="7182" width="9.625" style="286" customWidth="1"/>
    <col min="7183" max="7183" width="9.25" style="286" customWidth="1"/>
    <col min="7184" max="7184" width="8.375" style="286" customWidth="1"/>
    <col min="7185" max="7185" width="10.375" style="286" customWidth="1"/>
    <col min="7186" max="7186" width="14.625" style="286" customWidth="1"/>
    <col min="7187" max="7187" width="28.375" style="286" customWidth="1"/>
    <col min="7188" max="7188" width="14.125" style="286" bestFit="1" customWidth="1"/>
    <col min="7189" max="7189" width="8.75" style="286" bestFit="1" customWidth="1"/>
    <col min="7190" max="7432" width="9" style="286"/>
    <col min="7433" max="7433" width="29" style="286" customWidth="1"/>
    <col min="7434" max="7436" width="9.25" style="286" customWidth="1"/>
    <col min="7437" max="7437" width="10.375" style="286" customWidth="1"/>
    <col min="7438" max="7438" width="9.625" style="286" customWidth="1"/>
    <col min="7439" max="7439" width="9.25" style="286" customWidth="1"/>
    <col min="7440" max="7440" width="8.375" style="286" customWidth="1"/>
    <col min="7441" max="7441" width="10.375" style="286" customWidth="1"/>
    <col min="7442" max="7442" width="14.625" style="286" customWidth="1"/>
    <col min="7443" max="7443" width="28.375" style="286" customWidth="1"/>
    <col min="7444" max="7444" width="14.125" style="286" bestFit="1" customWidth="1"/>
    <col min="7445" max="7445" width="8.75" style="286" bestFit="1" customWidth="1"/>
    <col min="7446" max="7688" width="9" style="286"/>
    <col min="7689" max="7689" width="29" style="286" customWidth="1"/>
    <col min="7690" max="7692" width="9.25" style="286" customWidth="1"/>
    <col min="7693" max="7693" width="10.375" style="286" customWidth="1"/>
    <col min="7694" max="7694" width="9.625" style="286" customWidth="1"/>
    <col min="7695" max="7695" width="9.25" style="286" customWidth="1"/>
    <col min="7696" max="7696" width="8.375" style="286" customWidth="1"/>
    <col min="7697" max="7697" width="10.375" style="286" customWidth="1"/>
    <col min="7698" max="7698" width="14.625" style="286" customWidth="1"/>
    <col min="7699" max="7699" width="28.375" style="286" customWidth="1"/>
    <col min="7700" max="7700" width="14.125" style="286" bestFit="1" customWidth="1"/>
    <col min="7701" max="7701" width="8.75" style="286" bestFit="1" customWidth="1"/>
    <col min="7702" max="7944" width="9" style="286"/>
    <col min="7945" max="7945" width="29" style="286" customWidth="1"/>
    <col min="7946" max="7948" width="9.25" style="286" customWidth="1"/>
    <col min="7949" max="7949" width="10.375" style="286" customWidth="1"/>
    <col min="7950" max="7950" width="9.625" style="286" customWidth="1"/>
    <col min="7951" max="7951" width="9.25" style="286" customWidth="1"/>
    <col min="7952" max="7952" width="8.375" style="286" customWidth="1"/>
    <col min="7953" max="7953" width="10.375" style="286" customWidth="1"/>
    <col min="7954" max="7954" width="14.625" style="286" customWidth="1"/>
    <col min="7955" max="7955" width="28.375" style="286" customWidth="1"/>
    <col min="7956" max="7956" width="14.125" style="286" bestFit="1" customWidth="1"/>
    <col min="7957" max="7957" width="8.75" style="286" bestFit="1" customWidth="1"/>
    <col min="7958" max="8200" width="9" style="286"/>
    <col min="8201" max="8201" width="29" style="286" customWidth="1"/>
    <col min="8202" max="8204" width="9.25" style="286" customWidth="1"/>
    <col min="8205" max="8205" width="10.375" style="286" customWidth="1"/>
    <col min="8206" max="8206" width="9.625" style="286" customWidth="1"/>
    <col min="8207" max="8207" width="9.25" style="286" customWidth="1"/>
    <col min="8208" max="8208" width="8.375" style="286" customWidth="1"/>
    <col min="8209" max="8209" width="10.375" style="286" customWidth="1"/>
    <col min="8210" max="8210" width="14.625" style="286" customWidth="1"/>
    <col min="8211" max="8211" width="28.375" style="286" customWidth="1"/>
    <col min="8212" max="8212" width="14.125" style="286" bestFit="1" customWidth="1"/>
    <col min="8213" max="8213" width="8.75" style="286" bestFit="1" customWidth="1"/>
    <col min="8214" max="8456" width="9" style="286"/>
    <col min="8457" max="8457" width="29" style="286" customWidth="1"/>
    <col min="8458" max="8460" width="9.25" style="286" customWidth="1"/>
    <col min="8461" max="8461" width="10.375" style="286" customWidth="1"/>
    <col min="8462" max="8462" width="9.625" style="286" customWidth="1"/>
    <col min="8463" max="8463" width="9.25" style="286" customWidth="1"/>
    <col min="8464" max="8464" width="8.375" style="286" customWidth="1"/>
    <col min="8465" max="8465" width="10.375" style="286" customWidth="1"/>
    <col min="8466" max="8466" width="14.625" style="286" customWidth="1"/>
    <col min="8467" max="8467" width="28.375" style="286" customWidth="1"/>
    <col min="8468" max="8468" width="14.125" style="286" bestFit="1" customWidth="1"/>
    <col min="8469" max="8469" width="8.75" style="286" bestFit="1" customWidth="1"/>
    <col min="8470" max="8712" width="9" style="286"/>
    <col min="8713" max="8713" width="29" style="286" customWidth="1"/>
    <col min="8714" max="8716" width="9.25" style="286" customWidth="1"/>
    <col min="8717" max="8717" width="10.375" style="286" customWidth="1"/>
    <col min="8718" max="8718" width="9.625" style="286" customWidth="1"/>
    <col min="8719" max="8719" width="9.25" style="286" customWidth="1"/>
    <col min="8720" max="8720" width="8.375" style="286" customWidth="1"/>
    <col min="8721" max="8721" width="10.375" style="286" customWidth="1"/>
    <col min="8722" max="8722" width="14.625" style="286" customWidth="1"/>
    <col min="8723" max="8723" width="28.375" style="286" customWidth="1"/>
    <col min="8724" max="8724" width="14.125" style="286" bestFit="1" customWidth="1"/>
    <col min="8725" max="8725" width="8.75" style="286" bestFit="1" customWidth="1"/>
    <col min="8726" max="8968" width="9" style="286"/>
    <col min="8969" max="8969" width="29" style="286" customWidth="1"/>
    <col min="8970" max="8972" width="9.25" style="286" customWidth="1"/>
    <col min="8973" max="8973" width="10.375" style="286" customWidth="1"/>
    <col min="8974" max="8974" width="9.625" style="286" customWidth="1"/>
    <col min="8975" max="8975" width="9.25" style="286" customWidth="1"/>
    <col min="8976" max="8976" width="8.375" style="286" customWidth="1"/>
    <col min="8977" max="8977" width="10.375" style="286" customWidth="1"/>
    <col min="8978" max="8978" width="14.625" style="286" customWidth="1"/>
    <col min="8979" max="8979" width="28.375" style="286" customWidth="1"/>
    <col min="8980" max="8980" width="14.125" style="286" bestFit="1" customWidth="1"/>
    <col min="8981" max="8981" width="8.75" style="286" bestFit="1" customWidth="1"/>
    <col min="8982" max="9224" width="9" style="286"/>
    <col min="9225" max="9225" width="29" style="286" customWidth="1"/>
    <col min="9226" max="9228" width="9.25" style="286" customWidth="1"/>
    <col min="9229" max="9229" width="10.375" style="286" customWidth="1"/>
    <col min="9230" max="9230" width="9.625" style="286" customWidth="1"/>
    <col min="9231" max="9231" width="9.25" style="286" customWidth="1"/>
    <col min="9232" max="9232" width="8.375" style="286" customWidth="1"/>
    <col min="9233" max="9233" width="10.375" style="286" customWidth="1"/>
    <col min="9234" max="9234" width="14.625" style="286" customWidth="1"/>
    <col min="9235" max="9235" width="28.375" style="286" customWidth="1"/>
    <col min="9236" max="9236" width="14.125" style="286" bestFit="1" customWidth="1"/>
    <col min="9237" max="9237" width="8.75" style="286" bestFit="1" customWidth="1"/>
    <col min="9238" max="9480" width="9" style="286"/>
    <col min="9481" max="9481" width="29" style="286" customWidth="1"/>
    <col min="9482" max="9484" width="9.25" style="286" customWidth="1"/>
    <col min="9485" max="9485" width="10.375" style="286" customWidth="1"/>
    <col min="9486" max="9486" width="9.625" style="286" customWidth="1"/>
    <col min="9487" max="9487" width="9.25" style="286" customWidth="1"/>
    <col min="9488" max="9488" width="8.375" style="286" customWidth="1"/>
    <col min="9489" max="9489" width="10.375" style="286" customWidth="1"/>
    <col min="9490" max="9490" width="14.625" style="286" customWidth="1"/>
    <col min="9491" max="9491" width="28.375" style="286" customWidth="1"/>
    <col min="9492" max="9492" width="14.125" style="286" bestFit="1" customWidth="1"/>
    <col min="9493" max="9493" width="8.75" style="286" bestFit="1" customWidth="1"/>
    <col min="9494" max="9736" width="9" style="286"/>
    <col min="9737" max="9737" width="29" style="286" customWidth="1"/>
    <col min="9738" max="9740" width="9.25" style="286" customWidth="1"/>
    <col min="9741" max="9741" width="10.375" style="286" customWidth="1"/>
    <col min="9742" max="9742" width="9.625" style="286" customWidth="1"/>
    <col min="9743" max="9743" width="9.25" style="286" customWidth="1"/>
    <col min="9744" max="9744" width="8.375" style="286" customWidth="1"/>
    <col min="9745" max="9745" width="10.375" style="286" customWidth="1"/>
    <col min="9746" max="9746" width="14.625" style="286" customWidth="1"/>
    <col min="9747" max="9747" width="28.375" style="286" customWidth="1"/>
    <col min="9748" max="9748" width="14.125" style="286" bestFit="1" customWidth="1"/>
    <col min="9749" max="9749" width="8.75" style="286" bestFit="1" customWidth="1"/>
    <col min="9750" max="9992" width="9" style="286"/>
    <col min="9993" max="9993" width="29" style="286" customWidth="1"/>
    <col min="9994" max="9996" width="9.25" style="286" customWidth="1"/>
    <col min="9997" max="9997" width="10.375" style="286" customWidth="1"/>
    <col min="9998" max="9998" width="9.625" style="286" customWidth="1"/>
    <col min="9999" max="9999" width="9.25" style="286" customWidth="1"/>
    <col min="10000" max="10000" width="8.375" style="286" customWidth="1"/>
    <col min="10001" max="10001" width="10.375" style="286" customWidth="1"/>
    <col min="10002" max="10002" width="14.625" style="286" customWidth="1"/>
    <col min="10003" max="10003" width="28.375" style="286" customWidth="1"/>
    <col min="10004" max="10004" width="14.125" style="286" bestFit="1" customWidth="1"/>
    <col min="10005" max="10005" width="8.75" style="286" bestFit="1" customWidth="1"/>
    <col min="10006" max="10248" width="9" style="286"/>
    <col min="10249" max="10249" width="29" style="286" customWidth="1"/>
    <col min="10250" max="10252" width="9.25" style="286" customWidth="1"/>
    <col min="10253" max="10253" width="10.375" style="286" customWidth="1"/>
    <col min="10254" max="10254" width="9.625" style="286" customWidth="1"/>
    <col min="10255" max="10255" width="9.25" style="286" customWidth="1"/>
    <col min="10256" max="10256" width="8.375" style="286" customWidth="1"/>
    <col min="10257" max="10257" width="10.375" style="286" customWidth="1"/>
    <col min="10258" max="10258" width="14.625" style="286" customWidth="1"/>
    <col min="10259" max="10259" width="28.375" style="286" customWidth="1"/>
    <col min="10260" max="10260" width="14.125" style="286" bestFit="1" customWidth="1"/>
    <col min="10261" max="10261" width="8.75" style="286" bestFit="1" customWidth="1"/>
    <col min="10262" max="10504" width="9" style="286"/>
    <col min="10505" max="10505" width="29" style="286" customWidth="1"/>
    <col min="10506" max="10508" width="9.25" style="286" customWidth="1"/>
    <col min="10509" max="10509" width="10.375" style="286" customWidth="1"/>
    <col min="10510" max="10510" width="9.625" style="286" customWidth="1"/>
    <col min="10511" max="10511" width="9.25" style="286" customWidth="1"/>
    <col min="10512" max="10512" width="8.375" style="286" customWidth="1"/>
    <col min="10513" max="10513" width="10.375" style="286" customWidth="1"/>
    <col min="10514" max="10514" width="14.625" style="286" customWidth="1"/>
    <col min="10515" max="10515" width="28.375" style="286" customWidth="1"/>
    <col min="10516" max="10516" width="14.125" style="286" bestFit="1" customWidth="1"/>
    <col min="10517" max="10517" width="8.75" style="286" bestFit="1" customWidth="1"/>
    <col min="10518" max="10760" width="9" style="286"/>
    <col min="10761" max="10761" width="29" style="286" customWidth="1"/>
    <col min="10762" max="10764" width="9.25" style="286" customWidth="1"/>
    <col min="10765" max="10765" width="10.375" style="286" customWidth="1"/>
    <col min="10766" max="10766" width="9.625" style="286" customWidth="1"/>
    <col min="10767" max="10767" width="9.25" style="286" customWidth="1"/>
    <col min="10768" max="10768" width="8.375" style="286" customWidth="1"/>
    <col min="10769" max="10769" width="10.375" style="286" customWidth="1"/>
    <col min="10770" max="10770" width="14.625" style="286" customWidth="1"/>
    <col min="10771" max="10771" width="28.375" style="286" customWidth="1"/>
    <col min="10772" max="10772" width="14.125" style="286" bestFit="1" customWidth="1"/>
    <col min="10773" max="10773" width="8.75" style="286" bestFit="1" customWidth="1"/>
    <col min="10774" max="11016" width="9" style="286"/>
    <col min="11017" max="11017" width="29" style="286" customWidth="1"/>
    <col min="11018" max="11020" width="9.25" style="286" customWidth="1"/>
    <col min="11021" max="11021" width="10.375" style="286" customWidth="1"/>
    <col min="11022" max="11022" width="9.625" style="286" customWidth="1"/>
    <col min="11023" max="11023" width="9.25" style="286" customWidth="1"/>
    <col min="11024" max="11024" width="8.375" style="286" customWidth="1"/>
    <col min="11025" max="11025" width="10.375" style="286" customWidth="1"/>
    <col min="11026" max="11026" width="14.625" style="286" customWidth="1"/>
    <col min="11027" max="11027" width="28.375" style="286" customWidth="1"/>
    <col min="11028" max="11028" width="14.125" style="286" bestFit="1" customWidth="1"/>
    <col min="11029" max="11029" width="8.75" style="286" bestFit="1" customWidth="1"/>
    <col min="11030" max="11272" width="9" style="286"/>
    <col min="11273" max="11273" width="29" style="286" customWidth="1"/>
    <col min="11274" max="11276" width="9.25" style="286" customWidth="1"/>
    <col min="11277" max="11277" width="10.375" style="286" customWidth="1"/>
    <col min="11278" max="11278" width="9.625" style="286" customWidth="1"/>
    <col min="11279" max="11279" width="9.25" style="286" customWidth="1"/>
    <col min="11280" max="11280" width="8.375" style="286" customWidth="1"/>
    <col min="11281" max="11281" width="10.375" style="286" customWidth="1"/>
    <col min="11282" max="11282" width="14.625" style="286" customWidth="1"/>
    <col min="11283" max="11283" width="28.375" style="286" customWidth="1"/>
    <col min="11284" max="11284" width="14.125" style="286" bestFit="1" customWidth="1"/>
    <col min="11285" max="11285" width="8.75" style="286" bestFit="1" customWidth="1"/>
    <col min="11286" max="11528" width="9" style="286"/>
    <col min="11529" max="11529" width="29" style="286" customWidth="1"/>
    <col min="11530" max="11532" width="9.25" style="286" customWidth="1"/>
    <col min="11533" max="11533" width="10.375" style="286" customWidth="1"/>
    <col min="11534" max="11534" width="9.625" style="286" customWidth="1"/>
    <col min="11535" max="11535" width="9.25" style="286" customWidth="1"/>
    <col min="11536" max="11536" width="8.375" style="286" customWidth="1"/>
    <col min="11537" max="11537" width="10.375" style="286" customWidth="1"/>
    <col min="11538" max="11538" width="14.625" style="286" customWidth="1"/>
    <col min="11539" max="11539" width="28.375" style="286" customWidth="1"/>
    <col min="11540" max="11540" width="14.125" style="286" bestFit="1" customWidth="1"/>
    <col min="11541" max="11541" width="8.75" style="286" bestFit="1" customWidth="1"/>
    <col min="11542" max="11784" width="9" style="286"/>
    <col min="11785" max="11785" width="29" style="286" customWidth="1"/>
    <col min="11786" max="11788" width="9.25" style="286" customWidth="1"/>
    <col min="11789" max="11789" width="10.375" style="286" customWidth="1"/>
    <col min="11790" max="11790" width="9.625" style="286" customWidth="1"/>
    <col min="11791" max="11791" width="9.25" style="286" customWidth="1"/>
    <col min="11792" max="11792" width="8.375" style="286" customWidth="1"/>
    <col min="11793" max="11793" width="10.375" style="286" customWidth="1"/>
    <col min="11794" max="11794" width="14.625" style="286" customWidth="1"/>
    <col min="11795" max="11795" width="28.375" style="286" customWidth="1"/>
    <col min="11796" max="11796" width="14.125" style="286" bestFit="1" customWidth="1"/>
    <col min="11797" max="11797" width="8.75" style="286" bestFit="1" customWidth="1"/>
    <col min="11798" max="12040" width="9" style="286"/>
    <col min="12041" max="12041" width="29" style="286" customWidth="1"/>
    <col min="12042" max="12044" width="9.25" style="286" customWidth="1"/>
    <col min="12045" max="12045" width="10.375" style="286" customWidth="1"/>
    <col min="12046" max="12046" width="9.625" style="286" customWidth="1"/>
    <col min="12047" max="12047" width="9.25" style="286" customWidth="1"/>
    <col min="12048" max="12048" width="8.375" style="286" customWidth="1"/>
    <col min="12049" max="12049" width="10.375" style="286" customWidth="1"/>
    <col min="12050" max="12050" width="14.625" style="286" customWidth="1"/>
    <col min="12051" max="12051" width="28.375" style="286" customWidth="1"/>
    <col min="12052" max="12052" width="14.125" style="286" bestFit="1" customWidth="1"/>
    <col min="12053" max="12053" width="8.75" style="286" bestFit="1" customWidth="1"/>
    <col min="12054" max="12296" width="9" style="286"/>
    <col min="12297" max="12297" width="29" style="286" customWidth="1"/>
    <col min="12298" max="12300" width="9.25" style="286" customWidth="1"/>
    <col min="12301" max="12301" width="10.375" style="286" customWidth="1"/>
    <col min="12302" max="12302" width="9.625" style="286" customWidth="1"/>
    <col min="12303" max="12303" width="9.25" style="286" customWidth="1"/>
    <col min="12304" max="12304" width="8.375" style="286" customWidth="1"/>
    <col min="12305" max="12305" width="10.375" style="286" customWidth="1"/>
    <col min="12306" max="12306" width="14.625" style="286" customWidth="1"/>
    <col min="12307" max="12307" width="28.375" style="286" customWidth="1"/>
    <col min="12308" max="12308" width="14.125" style="286" bestFit="1" customWidth="1"/>
    <col min="12309" max="12309" width="8.75" style="286" bestFit="1" customWidth="1"/>
    <col min="12310" max="12552" width="9" style="286"/>
    <col min="12553" max="12553" width="29" style="286" customWidth="1"/>
    <col min="12554" max="12556" width="9.25" style="286" customWidth="1"/>
    <col min="12557" max="12557" width="10.375" style="286" customWidth="1"/>
    <col min="12558" max="12558" width="9.625" style="286" customWidth="1"/>
    <col min="12559" max="12559" width="9.25" style="286" customWidth="1"/>
    <col min="12560" max="12560" width="8.375" style="286" customWidth="1"/>
    <col min="12561" max="12561" width="10.375" style="286" customWidth="1"/>
    <col min="12562" max="12562" width="14.625" style="286" customWidth="1"/>
    <col min="12563" max="12563" width="28.375" style="286" customWidth="1"/>
    <col min="12564" max="12564" width="14.125" style="286" bestFit="1" customWidth="1"/>
    <col min="12565" max="12565" width="8.75" style="286" bestFit="1" customWidth="1"/>
    <col min="12566" max="12808" width="9" style="286"/>
    <col min="12809" max="12809" width="29" style="286" customWidth="1"/>
    <col min="12810" max="12812" width="9.25" style="286" customWidth="1"/>
    <col min="12813" max="12813" width="10.375" style="286" customWidth="1"/>
    <col min="12814" max="12814" width="9.625" style="286" customWidth="1"/>
    <col min="12815" max="12815" width="9.25" style="286" customWidth="1"/>
    <col min="12816" max="12816" width="8.375" style="286" customWidth="1"/>
    <col min="12817" max="12817" width="10.375" style="286" customWidth="1"/>
    <col min="12818" max="12818" width="14.625" style="286" customWidth="1"/>
    <col min="12819" max="12819" width="28.375" style="286" customWidth="1"/>
    <col min="12820" max="12820" width="14.125" style="286" bestFit="1" customWidth="1"/>
    <col min="12821" max="12821" width="8.75" style="286" bestFit="1" customWidth="1"/>
    <col min="12822" max="13064" width="9" style="286"/>
    <col min="13065" max="13065" width="29" style="286" customWidth="1"/>
    <col min="13066" max="13068" width="9.25" style="286" customWidth="1"/>
    <col min="13069" max="13069" width="10.375" style="286" customWidth="1"/>
    <col min="13070" max="13070" width="9.625" style="286" customWidth="1"/>
    <col min="13071" max="13071" width="9.25" style="286" customWidth="1"/>
    <col min="13072" max="13072" width="8.375" style="286" customWidth="1"/>
    <col min="13073" max="13073" width="10.375" style="286" customWidth="1"/>
    <col min="13074" max="13074" width="14.625" style="286" customWidth="1"/>
    <col min="13075" max="13075" width="28.375" style="286" customWidth="1"/>
    <col min="13076" max="13076" width="14.125" style="286" bestFit="1" customWidth="1"/>
    <col min="13077" max="13077" width="8.75" style="286" bestFit="1" customWidth="1"/>
    <col min="13078" max="13320" width="9" style="286"/>
    <col min="13321" max="13321" width="29" style="286" customWidth="1"/>
    <col min="13322" max="13324" width="9.25" style="286" customWidth="1"/>
    <col min="13325" max="13325" width="10.375" style="286" customWidth="1"/>
    <col min="13326" max="13326" width="9.625" style="286" customWidth="1"/>
    <col min="13327" max="13327" width="9.25" style="286" customWidth="1"/>
    <col min="13328" max="13328" width="8.375" style="286" customWidth="1"/>
    <col min="13329" max="13329" width="10.375" style="286" customWidth="1"/>
    <col min="13330" max="13330" width="14.625" style="286" customWidth="1"/>
    <col min="13331" max="13331" width="28.375" style="286" customWidth="1"/>
    <col min="13332" max="13332" width="14.125" style="286" bestFit="1" customWidth="1"/>
    <col min="13333" max="13333" width="8.75" style="286" bestFit="1" customWidth="1"/>
    <col min="13334" max="13576" width="9" style="286"/>
    <col min="13577" max="13577" width="29" style="286" customWidth="1"/>
    <col min="13578" max="13580" width="9.25" style="286" customWidth="1"/>
    <col min="13581" max="13581" width="10.375" style="286" customWidth="1"/>
    <col min="13582" max="13582" width="9.625" style="286" customWidth="1"/>
    <col min="13583" max="13583" width="9.25" style="286" customWidth="1"/>
    <col min="13584" max="13584" width="8.375" style="286" customWidth="1"/>
    <col min="13585" max="13585" width="10.375" style="286" customWidth="1"/>
    <col min="13586" max="13586" width="14.625" style="286" customWidth="1"/>
    <col min="13587" max="13587" width="28.375" style="286" customWidth="1"/>
    <col min="13588" max="13588" width="14.125" style="286" bestFit="1" customWidth="1"/>
    <col min="13589" max="13589" width="8.75" style="286" bestFit="1" customWidth="1"/>
    <col min="13590" max="13832" width="9" style="286"/>
    <col min="13833" max="13833" width="29" style="286" customWidth="1"/>
    <col min="13834" max="13836" width="9.25" style="286" customWidth="1"/>
    <col min="13837" max="13837" width="10.375" style="286" customWidth="1"/>
    <col min="13838" max="13838" width="9.625" style="286" customWidth="1"/>
    <col min="13839" max="13839" width="9.25" style="286" customWidth="1"/>
    <col min="13840" max="13840" width="8.375" style="286" customWidth="1"/>
    <col min="13841" max="13841" width="10.375" style="286" customWidth="1"/>
    <col min="13842" max="13842" width="14.625" style="286" customWidth="1"/>
    <col min="13843" max="13843" width="28.375" style="286" customWidth="1"/>
    <col min="13844" max="13844" width="14.125" style="286" bestFit="1" customWidth="1"/>
    <col min="13845" max="13845" width="8.75" style="286" bestFit="1" customWidth="1"/>
    <col min="13846" max="14088" width="9" style="286"/>
    <col min="14089" max="14089" width="29" style="286" customWidth="1"/>
    <col min="14090" max="14092" width="9.25" style="286" customWidth="1"/>
    <col min="14093" max="14093" width="10.375" style="286" customWidth="1"/>
    <col min="14094" max="14094" width="9.625" style="286" customWidth="1"/>
    <col min="14095" max="14095" width="9.25" style="286" customWidth="1"/>
    <col min="14096" max="14096" width="8.375" style="286" customWidth="1"/>
    <col min="14097" max="14097" width="10.375" style="286" customWidth="1"/>
    <col min="14098" max="14098" width="14.625" style="286" customWidth="1"/>
    <col min="14099" max="14099" width="28.375" style="286" customWidth="1"/>
    <col min="14100" max="14100" width="14.125" style="286" bestFit="1" customWidth="1"/>
    <col min="14101" max="14101" width="8.75" style="286" bestFit="1" customWidth="1"/>
    <col min="14102" max="14344" width="9" style="286"/>
    <col min="14345" max="14345" width="29" style="286" customWidth="1"/>
    <col min="14346" max="14348" width="9.25" style="286" customWidth="1"/>
    <col min="14349" max="14349" width="10.375" style="286" customWidth="1"/>
    <col min="14350" max="14350" width="9.625" style="286" customWidth="1"/>
    <col min="14351" max="14351" width="9.25" style="286" customWidth="1"/>
    <col min="14352" max="14352" width="8.375" style="286" customWidth="1"/>
    <col min="14353" max="14353" width="10.375" style="286" customWidth="1"/>
    <col min="14354" max="14354" width="14.625" style="286" customWidth="1"/>
    <col min="14355" max="14355" width="28.375" style="286" customWidth="1"/>
    <col min="14356" max="14356" width="14.125" style="286" bestFit="1" customWidth="1"/>
    <col min="14357" max="14357" width="8.75" style="286" bestFit="1" customWidth="1"/>
    <col min="14358" max="14600" width="9" style="286"/>
    <col min="14601" max="14601" width="29" style="286" customWidth="1"/>
    <col min="14602" max="14604" width="9.25" style="286" customWidth="1"/>
    <col min="14605" max="14605" width="10.375" style="286" customWidth="1"/>
    <col min="14606" max="14606" width="9.625" style="286" customWidth="1"/>
    <col min="14607" max="14607" width="9.25" style="286" customWidth="1"/>
    <col min="14608" max="14608" width="8.375" style="286" customWidth="1"/>
    <col min="14609" max="14609" width="10.375" style="286" customWidth="1"/>
    <col min="14610" max="14610" width="14.625" style="286" customWidth="1"/>
    <col min="14611" max="14611" width="28.375" style="286" customWidth="1"/>
    <col min="14612" max="14612" width="14.125" style="286" bestFit="1" customWidth="1"/>
    <col min="14613" max="14613" width="8.75" style="286" bestFit="1" customWidth="1"/>
    <col min="14614" max="14856" width="9" style="286"/>
    <col min="14857" max="14857" width="29" style="286" customWidth="1"/>
    <col min="14858" max="14860" width="9.25" style="286" customWidth="1"/>
    <col min="14861" max="14861" width="10.375" style="286" customWidth="1"/>
    <col min="14862" max="14862" width="9.625" style="286" customWidth="1"/>
    <col min="14863" max="14863" width="9.25" style="286" customWidth="1"/>
    <col min="14864" max="14864" width="8.375" style="286" customWidth="1"/>
    <col min="14865" max="14865" width="10.375" style="286" customWidth="1"/>
    <col min="14866" max="14866" width="14.625" style="286" customWidth="1"/>
    <col min="14867" max="14867" width="28.375" style="286" customWidth="1"/>
    <col min="14868" max="14868" width="14.125" style="286" bestFit="1" customWidth="1"/>
    <col min="14869" max="14869" width="8.75" style="286" bestFit="1" customWidth="1"/>
    <col min="14870" max="15112" width="9" style="286"/>
    <col min="15113" max="15113" width="29" style="286" customWidth="1"/>
    <col min="15114" max="15116" width="9.25" style="286" customWidth="1"/>
    <col min="15117" max="15117" width="10.375" style="286" customWidth="1"/>
    <col min="15118" max="15118" width="9.625" style="286" customWidth="1"/>
    <col min="15119" max="15119" width="9.25" style="286" customWidth="1"/>
    <col min="15120" max="15120" width="8.375" style="286" customWidth="1"/>
    <col min="15121" max="15121" width="10.375" style="286" customWidth="1"/>
    <col min="15122" max="15122" width="14.625" style="286" customWidth="1"/>
    <col min="15123" max="15123" width="28.375" style="286" customWidth="1"/>
    <col min="15124" max="15124" width="14.125" style="286" bestFit="1" customWidth="1"/>
    <col min="15125" max="15125" width="8.75" style="286" bestFit="1" customWidth="1"/>
    <col min="15126" max="15368" width="9" style="286"/>
    <col min="15369" max="15369" width="29" style="286" customWidth="1"/>
    <col min="15370" max="15372" width="9.25" style="286" customWidth="1"/>
    <col min="15373" max="15373" width="10.375" style="286" customWidth="1"/>
    <col min="15374" max="15374" width="9.625" style="286" customWidth="1"/>
    <col min="15375" max="15375" width="9.25" style="286" customWidth="1"/>
    <col min="15376" max="15376" width="8.375" style="286" customWidth="1"/>
    <col min="15377" max="15377" width="10.375" style="286" customWidth="1"/>
    <col min="15378" max="15378" width="14.625" style="286" customWidth="1"/>
    <col min="15379" max="15379" width="28.375" style="286" customWidth="1"/>
    <col min="15380" max="15380" width="14.125" style="286" bestFit="1" customWidth="1"/>
    <col min="15381" max="15381" width="8.75" style="286" bestFit="1" customWidth="1"/>
    <col min="15382" max="15624" width="9" style="286"/>
    <col min="15625" max="15625" width="29" style="286" customWidth="1"/>
    <col min="15626" max="15628" width="9.25" style="286" customWidth="1"/>
    <col min="15629" max="15629" width="10.375" style="286" customWidth="1"/>
    <col min="15630" max="15630" width="9.625" style="286" customWidth="1"/>
    <col min="15631" max="15631" width="9.25" style="286" customWidth="1"/>
    <col min="15632" max="15632" width="8.375" style="286" customWidth="1"/>
    <col min="15633" max="15633" width="10.375" style="286" customWidth="1"/>
    <col min="15634" max="15634" width="14.625" style="286" customWidth="1"/>
    <col min="15635" max="15635" width="28.375" style="286" customWidth="1"/>
    <col min="15636" max="15636" width="14.125" style="286" bestFit="1" customWidth="1"/>
    <col min="15637" max="15637" width="8.75" style="286" bestFit="1" customWidth="1"/>
    <col min="15638" max="15880" width="9" style="286"/>
    <col min="15881" max="15881" width="29" style="286" customWidth="1"/>
    <col min="15882" max="15884" width="9.25" style="286" customWidth="1"/>
    <col min="15885" max="15885" width="10.375" style="286" customWidth="1"/>
    <col min="15886" max="15886" width="9.625" style="286" customWidth="1"/>
    <col min="15887" max="15887" width="9.25" style="286" customWidth="1"/>
    <col min="15888" max="15888" width="8.375" style="286" customWidth="1"/>
    <col min="15889" max="15889" width="10.375" style="286" customWidth="1"/>
    <col min="15890" max="15890" width="14.625" style="286" customWidth="1"/>
    <col min="15891" max="15891" width="28.375" style="286" customWidth="1"/>
    <col min="15892" max="15892" width="14.125" style="286" bestFit="1" customWidth="1"/>
    <col min="15893" max="15893" width="8.75" style="286" bestFit="1" customWidth="1"/>
    <col min="15894" max="16136" width="9" style="286"/>
    <col min="16137" max="16137" width="29" style="286" customWidth="1"/>
    <col min="16138" max="16140" width="9.25" style="286" customWidth="1"/>
    <col min="16141" max="16141" width="10.375" style="286" customWidth="1"/>
    <col min="16142" max="16142" width="9.625" style="286" customWidth="1"/>
    <col min="16143" max="16143" width="9.25" style="286" customWidth="1"/>
    <col min="16144" max="16144" width="8.375" style="286" customWidth="1"/>
    <col min="16145" max="16145" width="10.375" style="286" customWidth="1"/>
    <col min="16146" max="16146" width="14.625" style="286" customWidth="1"/>
    <col min="16147" max="16147" width="28.375" style="286" customWidth="1"/>
    <col min="16148" max="16148" width="14.125" style="286" bestFit="1" customWidth="1"/>
    <col min="16149" max="16149" width="8.75" style="286" bestFit="1" customWidth="1"/>
    <col min="16150" max="16384" width="9" style="286"/>
  </cols>
  <sheetData>
    <row r="1" spans="1:21" ht="24.7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</row>
    <row r="2" spans="1:21" ht="24.75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</row>
    <row r="3" spans="1:21" s="290" customFormat="1" ht="21.75">
      <c r="A3" s="287" t="s">
        <v>0</v>
      </c>
      <c r="B3" s="287"/>
      <c r="C3" s="287"/>
      <c r="D3" s="289"/>
      <c r="E3" s="289"/>
      <c r="F3" s="289"/>
      <c r="L3" s="348"/>
      <c r="M3" s="349"/>
    </row>
    <row r="4" spans="1:21" s="290" customFormat="1" ht="21.75">
      <c r="A4" s="287" t="s">
        <v>1</v>
      </c>
      <c r="B4" s="287"/>
      <c r="C4" s="287"/>
      <c r="L4" s="348"/>
      <c r="M4" s="349"/>
    </row>
    <row r="5" spans="1:21" ht="18.75" customHeight="1">
      <c r="S5" s="83" t="s">
        <v>86</v>
      </c>
    </row>
    <row r="6" spans="1:21" s="291" customFormat="1" ht="15.75">
      <c r="A6" s="1587" t="s">
        <v>87</v>
      </c>
      <c r="B6" s="1588"/>
      <c r="C6" s="1755" t="s">
        <v>88</v>
      </c>
      <c r="D6" s="1756" t="s">
        <v>15</v>
      </c>
      <c r="E6" s="1757"/>
      <c r="F6" s="1756" t="s">
        <v>28</v>
      </c>
      <c r="G6" s="1757"/>
      <c r="H6" s="1760" t="s">
        <v>344</v>
      </c>
      <c r="I6" s="1760"/>
      <c r="J6" s="1760"/>
      <c r="K6" s="1760"/>
      <c r="L6" s="1760"/>
      <c r="M6" s="1760"/>
      <c r="N6" s="1760"/>
      <c r="O6" s="1760"/>
      <c r="P6" s="1760"/>
      <c r="Q6" s="1577" t="s">
        <v>89</v>
      </c>
      <c r="R6" s="1577" t="s">
        <v>90</v>
      </c>
      <c r="S6" s="1755" t="s">
        <v>91</v>
      </c>
    </row>
    <row r="7" spans="1:21" s="291" customFormat="1" ht="15.75" customHeight="1">
      <c r="A7" s="1753"/>
      <c r="B7" s="1754"/>
      <c r="C7" s="1752"/>
      <c r="D7" s="1758"/>
      <c r="E7" s="1759"/>
      <c r="F7" s="1758"/>
      <c r="G7" s="1759"/>
      <c r="H7" s="1619" t="s">
        <v>76</v>
      </c>
      <c r="I7" s="1619" t="s">
        <v>77</v>
      </c>
      <c r="J7" s="1619"/>
      <c r="K7" s="1619"/>
      <c r="L7" s="1761" t="s">
        <v>175</v>
      </c>
      <c r="M7" s="1755" t="s">
        <v>16</v>
      </c>
      <c r="N7" s="1755" t="s">
        <v>8</v>
      </c>
      <c r="O7" s="1755" t="s">
        <v>94</v>
      </c>
      <c r="P7" s="1620" t="s">
        <v>10</v>
      </c>
      <c r="Q7" s="1583"/>
      <c r="R7" s="1583"/>
      <c r="S7" s="1752"/>
    </row>
    <row r="8" spans="1:21" s="291" customFormat="1" ht="15.75">
      <c r="A8" s="1589"/>
      <c r="B8" s="1590"/>
      <c r="C8" s="1752"/>
      <c r="D8" s="292" t="s">
        <v>4</v>
      </c>
      <c r="E8" s="292" t="s">
        <v>5</v>
      </c>
      <c r="F8" s="292" t="s">
        <v>4</v>
      </c>
      <c r="G8" s="292" t="s">
        <v>6</v>
      </c>
      <c r="H8" s="1577"/>
      <c r="I8" s="1619"/>
      <c r="J8" s="1619"/>
      <c r="K8" s="1619"/>
      <c r="L8" s="1762"/>
      <c r="M8" s="1752"/>
      <c r="N8" s="1752"/>
      <c r="O8" s="1752"/>
      <c r="P8" s="1620"/>
      <c r="Q8" s="1583"/>
      <c r="R8" s="1583"/>
      <c r="S8" s="1752"/>
    </row>
    <row r="9" spans="1:21" s="291" customFormat="1" ht="17.25" customHeight="1">
      <c r="A9" s="86" t="s">
        <v>96</v>
      </c>
      <c r="B9" s="86" t="s">
        <v>97</v>
      </c>
      <c r="C9" s="85"/>
      <c r="D9" s="293"/>
      <c r="E9" s="293"/>
      <c r="F9" s="293"/>
      <c r="G9" s="293"/>
      <c r="H9" s="76"/>
      <c r="I9" s="76" t="s">
        <v>78</v>
      </c>
      <c r="J9" s="76" t="s">
        <v>79</v>
      </c>
      <c r="K9" s="76" t="s">
        <v>80</v>
      </c>
      <c r="L9" s="1763"/>
      <c r="M9" s="1767"/>
      <c r="N9" s="1767"/>
      <c r="O9" s="1767"/>
      <c r="P9" s="295"/>
      <c r="Q9" s="76"/>
      <c r="R9" s="76"/>
      <c r="S9" s="1752"/>
    </row>
    <row r="10" spans="1:21" s="291" customFormat="1" ht="17.25" customHeight="1" thickBot="1">
      <c r="A10" s="93"/>
      <c r="B10" s="93"/>
      <c r="C10" s="95" t="s">
        <v>11</v>
      </c>
      <c r="D10" s="296"/>
      <c r="E10" s="296"/>
      <c r="F10" s="296"/>
      <c r="G10" s="296"/>
      <c r="H10" s="97"/>
      <c r="I10" s="97"/>
      <c r="J10" s="97"/>
      <c r="K10" s="97"/>
      <c r="L10" s="352"/>
      <c r="M10" s="297"/>
      <c r="N10" s="297"/>
      <c r="O10" s="297"/>
      <c r="P10" s="298">
        <f>P15</f>
        <v>22793300</v>
      </c>
      <c r="Q10" s="97"/>
      <c r="R10" s="97"/>
      <c r="S10" s="1767"/>
    </row>
    <row r="11" spans="1:21" s="105" customFormat="1" ht="21" customHeight="1" thickTop="1">
      <c r="A11" s="477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715"/>
      <c r="Q11" s="479"/>
      <c r="R11" s="479"/>
      <c r="S11" s="104"/>
      <c r="U11" s="707"/>
    </row>
    <row r="12" spans="1:21" s="39" customFormat="1" ht="21" customHeight="1">
      <c r="A12" s="198"/>
      <c r="B12" s="198"/>
      <c r="C12" s="699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716"/>
      <c r="Q12" s="215"/>
      <c r="R12" s="215"/>
      <c r="S12" s="54"/>
      <c r="U12" s="708"/>
    </row>
    <row r="13" spans="1:21" s="569" customFormat="1" ht="19.5" customHeight="1">
      <c r="A13" s="568"/>
      <c r="C13" s="570" t="s">
        <v>842</v>
      </c>
      <c r="D13" s="571"/>
      <c r="E13" s="571"/>
      <c r="F13" s="571"/>
      <c r="G13" s="571"/>
      <c r="H13" s="571"/>
      <c r="I13" s="571"/>
      <c r="J13" s="571"/>
      <c r="K13" s="571"/>
      <c r="L13" s="572"/>
      <c r="M13" s="572"/>
      <c r="N13" s="572"/>
      <c r="O13" s="572"/>
      <c r="P13" s="719"/>
      <c r="Q13" s="571"/>
      <c r="R13" s="574"/>
      <c r="S13" s="571"/>
      <c r="T13" s="575"/>
      <c r="U13" s="709"/>
    </row>
    <row r="14" spans="1:21" s="569" customFormat="1" ht="23.25" customHeight="1">
      <c r="A14" s="568"/>
      <c r="C14" s="576" t="s">
        <v>843</v>
      </c>
      <c r="D14" s="571"/>
      <c r="E14" s="571"/>
      <c r="F14" s="571"/>
      <c r="G14" s="571"/>
      <c r="H14" s="571"/>
      <c r="I14" s="571"/>
      <c r="J14" s="571"/>
      <c r="K14" s="571"/>
      <c r="L14" s="572"/>
      <c r="M14" s="572"/>
      <c r="N14" s="572"/>
      <c r="O14" s="572"/>
      <c r="P14" s="720"/>
      <c r="Q14" s="577"/>
      <c r="R14" s="571"/>
      <c r="S14" s="850" t="s">
        <v>178</v>
      </c>
      <c r="T14" s="575"/>
      <c r="U14" s="709"/>
    </row>
    <row r="15" spans="1:21" s="839" customFormat="1" ht="23.25" customHeight="1">
      <c r="A15" s="838"/>
      <c r="C15" s="840" t="s">
        <v>873</v>
      </c>
      <c r="D15" s="841"/>
      <c r="E15" s="841"/>
      <c r="F15" s="841"/>
      <c r="G15" s="842"/>
      <c r="H15" s="842"/>
      <c r="I15" s="842"/>
      <c r="J15" s="842"/>
      <c r="K15" s="842"/>
      <c r="L15" s="843"/>
      <c r="M15" s="844"/>
      <c r="N15" s="845"/>
      <c r="O15" s="845"/>
      <c r="P15" s="846">
        <f>P17+P28+P31</f>
        <v>22793300</v>
      </c>
      <c r="Q15" s="842"/>
      <c r="R15" s="842"/>
      <c r="S15" s="1736" t="s">
        <v>877</v>
      </c>
    </row>
    <row r="16" spans="1:21" s="839" customFormat="1" ht="23.25" customHeight="1">
      <c r="A16" s="838"/>
      <c r="C16" s="840" t="s">
        <v>12</v>
      </c>
      <c r="D16" s="840"/>
      <c r="E16" s="840"/>
      <c r="F16" s="840"/>
      <c r="G16" s="842"/>
      <c r="H16" s="842"/>
      <c r="I16" s="842"/>
      <c r="J16" s="842"/>
      <c r="K16" s="842"/>
      <c r="L16" s="843"/>
      <c r="M16" s="844"/>
      <c r="N16" s="845"/>
      <c r="O16" s="845"/>
      <c r="P16" s="842"/>
      <c r="Q16" s="842"/>
      <c r="R16" s="842"/>
      <c r="S16" s="1736"/>
    </row>
    <row r="17" spans="1:21" s="839" customFormat="1" ht="23.25" customHeight="1">
      <c r="A17" s="838"/>
      <c r="C17" s="847" t="s">
        <v>101</v>
      </c>
      <c r="D17" s="845"/>
      <c r="E17" s="845"/>
      <c r="F17" s="845"/>
      <c r="G17" s="845"/>
      <c r="H17" s="845"/>
      <c r="I17" s="845"/>
      <c r="J17" s="845"/>
      <c r="K17" s="845"/>
      <c r="L17" s="843"/>
      <c r="M17" s="844"/>
      <c r="N17" s="845"/>
      <c r="O17" s="848"/>
      <c r="P17" s="1413">
        <f>SUM(P18:P27)</f>
        <v>1083000</v>
      </c>
      <c r="Q17" s="849"/>
      <c r="R17" s="849"/>
      <c r="S17" s="1736"/>
      <c r="T17" s="851"/>
    </row>
    <row r="18" spans="1:21" s="839" customFormat="1" ht="22.5" customHeight="1">
      <c r="A18" s="838"/>
      <c r="C18" s="852" t="s">
        <v>467</v>
      </c>
      <c r="D18" s="845"/>
      <c r="E18" s="845"/>
      <c r="F18" s="845"/>
      <c r="G18" s="845"/>
      <c r="H18" s="853" t="s">
        <v>81</v>
      </c>
      <c r="I18" s="528"/>
      <c r="J18" s="854" t="s">
        <v>104</v>
      </c>
      <c r="K18" s="845"/>
      <c r="L18" s="855">
        <v>1</v>
      </c>
      <c r="M18" s="856">
        <v>10</v>
      </c>
      <c r="N18" s="857">
        <v>3</v>
      </c>
      <c r="O18" s="858">
        <v>55000</v>
      </c>
      <c r="P18" s="859">
        <f t="shared" ref="P18:P27" si="0">O18*N18*L18</f>
        <v>165000</v>
      </c>
      <c r="Q18" s="860"/>
      <c r="R18" s="860"/>
      <c r="S18" s="1736"/>
    </row>
    <row r="19" spans="1:21" s="839" customFormat="1" ht="23.25" customHeight="1">
      <c r="A19" s="838"/>
      <c r="C19" s="852" t="s">
        <v>598</v>
      </c>
      <c r="D19" s="845"/>
      <c r="E19" s="845"/>
      <c r="F19" s="845"/>
      <c r="G19" s="845"/>
      <c r="H19" s="853" t="s">
        <v>81</v>
      </c>
      <c r="I19" s="528"/>
      <c r="J19" s="854" t="s">
        <v>104</v>
      </c>
      <c r="K19" s="845"/>
      <c r="L19" s="855">
        <v>1</v>
      </c>
      <c r="M19" s="856">
        <v>7</v>
      </c>
      <c r="N19" s="857">
        <v>3</v>
      </c>
      <c r="O19" s="858">
        <v>36000</v>
      </c>
      <c r="P19" s="859">
        <f t="shared" si="0"/>
        <v>108000</v>
      </c>
      <c r="Q19" s="860"/>
      <c r="R19" s="860"/>
      <c r="S19" s="1736"/>
    </row>
    <row r="20" spans="1:21" s="839" customFormat="1" ht="23.25" customHeight="1">
      <c r="A20" s="838"/>
      <c r="C20" s="852" t="s">
        <v>599</v>
      </c>
      <c r="D20" s="845"/>
      <c r="E20" s="845"/>
      <c r="F20" s="845"/>
      <c r="G20" s="845"/>
      <c r="H20" s="861" t="s">
        <v>600</v>
      </c>
      <c r="I20" s="854" t="s">
        <v>104</v>
      </c>
      <c r="J20" s="845"/>
      <c r="K20" s="845"/>
      <c r="L20" s="855">
        <v>1</v>
      </c>
      <c r="M20" s="856">
        <v>5</v>
      </c>
      <c r="N20" s="857">
        <v>3</v>
      </c>
      <c r="O20" s="858">
        <v>36000</v>
      </c>
      <c r="P20" s="859">
        <f t="shared" si="0"/>
        <v>108000</v>
      </c>
      <c r="Q20" s="860"/>
      <c r="R20" s="860"/>
      <c r="S20" s="1736"/>
    </row>
    <row r="21" spans="1:21" s="839" customFormat="1" ht="23.25" customHeight="1">
      <c r="A21" s="838"/>
      <c r="C21" s="852" t="s">
        <v>601</v>
      </c>
      <c r="D21" s="845"/>
      <c r="E21" s="845"/>
      <c r="F21" s="845"/>
      <c r="G21" s="845"/>
      <c r="H21" s="853" t="s">
        <v>81</v>
      </c>
      <c r="I21" s="854" t="s">
        <v>104</v>
      </c>
      <c r="J21" s="845"/>
      <c r="K21" s="845"/>
      <c r="L21" s="855">
        <v>1</v>
      </c>
      <c r="M21" s="856">
        <v>5</v>
      </c>
      <c r="N21" s="857">
        <v>3</v>
      </c>
      <c r="O21" s="858">
        <v>36000</v>
      </c>
      <c r="P21" s="859">
        <f t="shared" si="0"/>
        <v>108000</v>
      </c>
      <c r="Q21" s="860"/>
      <c r="R21" s="860"/>
      <c r="S21" s="1736"/>
    </row>
    <row r="22" spans="1:21" s="839" customFormat="1" ht="23.25" customHeight="1">
      <c r="A22" s="838"/>
      <c r="C22" s="852" t="s">
        <v>602</v>
      </c>
      <c r="D22" s="845"/>
      <c r="E22" s="845"/>
      <c r="F22" s="845"/>
      <c r="G22" s="845"/>
      <c r="H22" s="853" t="s">
        <v>81</v>
      </c>
      <c r="I22" s="854" t="s">
        <v>104</v>
      </c>
      <c r="J22" s="845"/>
      <c r="K22" s="845"/>
      <c r="L22" s="855">
        <v>1</v>
      </c>
      <c r="M22" s="856">
        <v>5</v>
      </c>
      <c r="N22" s="857">
        <v>3</v>
      </c>
      <c r="O22" s="858">
        <v>36000</v>
      </c>
      <c r="P22" s="859">
        <f t="shared" si="0"/>
        <v>108000</v>
      </c>
      <c r="Q22" s="860"/>
      <c r="R22" s="860"/>
      <c r="S22" s="1736" t="s">
        <v>603</v>
      </c>
    </row>
    <row r="23" spans="1:21" s="839" customFormat="1" ht="23.25" customHeight="1">
      <c r="A23" s="838"/>
      <c r="C23" s="852" t="s">
        <v>604</v>
      </c>
      <c r="D23" s="845"/>
      <c r="E23" s="845"/>
      <c r="F23" s="845"/>
      <c r="G23" s="845"/>
      <c r="H23" s="853" t="s">
        <v>81</v>
      </c>
      <c r="I23" s="854" t="s">
        <v>104</v>
      </c>
      <c r="J23" s="845"/>
      <c r="K23" s="845"/>
      <c r="L23" s="855">
        <v>1</v>
      </c>
      <c r="M23" s="856">
        <v>5</v>
      </c>
      <c r="N23" s="857">
        <v>3</v>
      </c>
      <c r="O23" s="858">
        <v>36000</v>
      </c>
      <c r="P23" s="859">
        <f t="shared" si="0"/>
        <v>108000</v>
      </c>
      <c r="Q23" s="860"/>
      <c r="R23" s="860"/>
      <c r="S23" s="1736"/>
    </row>
    <row r="24" spans="1:21" s="839" customFormat="1" ht="24" customHeight="1">
      <c r="A24" s="838"/>
      <c r="C24" s="746" t="s">
        <v>605</v>
      </c>
      <c r="D24" s="862"/>
      <c r="E24" s="862"/>
      <c r="F24" s="862"/>
      <c r="G24" s="862"/>
      <c r="H24" s="853" t="s">
        <v>81</v>
      </c>
      <c r="I24" s="854" t="s">
        <v>104</v>
      </c>
      <c r="J24" s="862"/>
      <c r="K24" s="862"/>
      <c r="L24" s="855">
        <v>1</v>
      </c>
      <c r="M24" s="856">
        <v>5</v>
      </c>
      <c r="N24" s="857">
        <v>3</v>
      </c>
      <c r="O24" s="858">
        <v>36000</v>
      </c>
      <c r="P24" s="859">
        <f t="shared" si="0"/>
        <v>108000</v>
      </c>
      <c r="Q24" s="860"/>
      <c r="R24" s="860"/>
      <c r="S24" s="1736"/>
    </row>
    <row r="25" spans="1:21" s="864" customFormat="1" ht="23.25" customHeight="1">
      <c r="A25" s="863"/>
      <c r="C25" s="841" t="s">
        <v>606</v>
      </c>
      <c r="D25" s="862"/>
      <c r="E25" s="862"/>
      <c r="F25" s="862"/>
      <c r="G25" s="862"/>
      <c r="H25" s="853" t="s">
        <v>81</v>
      </c>
      <c r="I25" s="854" t="s">
        <v>104</v>
      </c>
      <c r="J25" s="862"/>
      <c r="K25" s="862"/>
      <c r="L25" s="855">
        <v>1</v>
      </c>
      <c r="M25" s="856">
        <v>5</v>
      </c>
      <c r="N25" s="857">
        <v>3</v>
      </c>
      <c r="O25" s="858">
        <v>30000</v>
      </c>
      <c r="P25" s="859">
        <f t="shared" si="0"/>
        <v>90000</v>
      </c>
      <c r="Q25" s="860"/>
      <c r="R25" s="860"/>
      <c r="S25" s="1736"/>
    </row>
    <row r="26" spans="1:21" s="864" customFormat="1" ht="23.25" customHeight="1">
      <c r="A26" s="863"/>
      <c r="C26" s="841" t="s">
        <v>607</v>
      </c>
      <c r="D26" s="862"/>
      <c r="E26" s="862"/>
      <c r="F26" s="862"/>
      <c r="G26" s="862"/>
      <c r="H26" s="861" t="s">
        <v>600</v>
      </c>
      <c r="I26" s="854" t="s">
        <v>104</v>
      </c>
      <c r="J26" s="862"/>
      <c r="K26" s="862"/>
      <c r="L26" s="855">
        <v>1</v>
      </c>
      <c r="M26" s="856">
        <v>3</v>
      </c>
      <c r="N26" s="857">
        <v>3</v>
      </c>
      <c r="O26" s="858">
        <v>30000</v>
      </c>
      <c r="P26" s="859">
        <f t="shared" si="0"/>
        <v>90000</v>
      </c>
      <c r="Q26" s="860"/>
      <c r="R26" s="860"/>
      <c r="S26" s="1736"/>
    </row>
    <row r="27" spans="1:21" s="864" customFormat="1" ht="23.25" customHeight="1">
      <c r="A27" s="863"/>
      <c r="C27" s="852" t="s">
        <v>608</v>
      </c>
      <c r="D27" s="845"/>
      <c r="E27" s="845"/>
      <c r="F27" s="845"/>
      <c r="G27" s="845"/>
      <c r="H27" s="853" t="s">
        <v>81</v>
      </c>
      <c r="I27" s="854" t="s">
        <v>104</v>
      </c>
      <c r="J27" s="865"/>
      <c r="K27" s="845"/>
      <c r="L27" s="855">
        <v>1</v>
      </c>
      <c r="M27" s="856">
        <v>3</v>
      </c>
      <c r="N27" s="857">
        <v>3</v>
      </c>
      <c r="O27" s="858">
        <v>30000</v>
      </c>
      <c r="P27" s="859">
        <f t="shared" si="0"/>
        <v>90000</v>
      </c>
      <c r="Q27" s="860"/>
      <c r="R27" s="860"/>
      <c r="S27" s="1736"/>
    </row>
    <row r="28" spans="1:21" s="839" customFormat="1" ht="23.25" customHeight="1">
      <c r="A28" s="838"/>
      <c r="C28" s="847" t="s">
        <v>112</v>
      </c>
      <c r="D28" s="845"/>
      <c r="E28" s="845"/>
      <c r="F28" s="845"/>
      <c r="G28" s="845"/>
      <c r="H28" s="845"/>
      <c r="I28" s="845"/>
      <c r="J28" s="845"/>
      <c r="K28" s="845"/>
      <c r="L28" s="843"/>
      <c r="M28" s="844"/>
      <c r="N28" s="844"/>
      <c r="O28" s="866"/>
      <c r="P28" s="867">
        <f>SUM(P29:P30)</f>
        <v>1080000</v>
      </c>
      <c r="Q28" s="868"/>
      <c r="R28" s="868"/>
      <c r="S28" s="1736"/>
    </row>
    <row r="29" spans="1:21" s="839" customFormat="1" ht="23.25" customHeight="1">
      <c r="A29" s="838"/>
      <c r="C29" s="746" t="s">
        <v>609</v>
      </c>
      <c r="D29" s="845"/>
      <c r="E29" s="845"/>
      <c r="F29" s="845"/>
      <c r="G29" s="845"/>
      <c r="H29" s="853" t="s">
        <v>114</v>
      </c>
      <c r="I29" s="854" t="s">
        <v>104</v>
      </c>
      <c r="J29" s="845"/>
      <c r="K29" s="845"/>
      <c r="L29" s="855">
        <v>4</v>
      </c>
      <c r="M29" s="869">
        <v>3</v>
      </c>
      <c r="N29" s="857">
        <v>9</v>
      </c>
      <c r="O29" s="858">
        <v>15000</v>
      </c>
      <c r="P29" s="870">
        <f>O29*N29*L29</f>
        <v>540000</v>
      </c>
      <c r="Q29" s="868"/>
      <c r="R29" s="868"/>
      <c r="S29" s="1736"/>
    </row>
    <row r="30" spans="1:21" s="839" customFormat="1" ht="23.25" customHeight="1">
      <c r="A30" s="1415"/>
      <c r="B30" s="1416"/>
      <c r="C30" s="746" t="s">
        <v>610</v>
      </c>
      <c r="D30" s="862"/>
      <c r="E30" s="862"/>
      <c r="F30" s="862"/>
      <c r="G30" s="862"/>
      <c r="H30" s="853" t="s">
        <v>114</v>
      </c>
      <c r="I30" s="854" t="s">
        <v>104</v>
      </c>
      <c r="J30" s="862"/>
      <c r="K30" s="862"/>
      <c r="L30" s="855">
        <v>4</v>
      </c>
      <c r="M30" s="869">
        <v>3</v>
      </c>
      <c r="N30" s="857">
        <v>9</v>
      </c>
      <c r="O30" s="858">
        <v>15000</v>
      </c>
      <c r="P30" s="870">
        <f>O30*N30*L30</f>
        <v>540000</v>
      </c>
      <c r="Q30" s="860"/>
      <c r="R30" s="860"/>
      <c r="S30" s="1736"/>
    </row>
    <row r="31" spans="1:21" s="864" customFormat="1" ht="23.25" customHeight="1">
      <c r="A31" s="863"/>
      <c r="C31" s="847" t="s">
        <v>881</v>
      </c>
      <c r="D31" s="845"/>
      <c r="E31" s="845"/>
      <c r="F31" s="845"/>
      <c r="G31" s="845"/>
      <c r="H31" s="845"/>
      <c r="I31" s="845"/>
      <c r="J31" s="845"/>
      <c r="K31" s="845"/>
      <c r="L31" s="843"/>
      <c r="M31" s="844"/>
      <c r="N31" s="871"/>
      <c r="O31" s="871"/>
      <c r="P31" s="872">
        <f>P33+P37+P49+P56+P61+P75+P85+P94+P102+P116+P119</f>
        <v>20630300</v>
      </c>
      <c r="Q31" s="873"/>
      <c r="R31" s="873"/>
      <c r="S31" s="1736" t="s">
        <v>878</v>
      </c>
      <c r="U31" s="874"/>
    </row>
    <row r="32" spans="1:21" s="864" customFormat="1" ht="23.25" customHeight="1">
      <c r="A32" s="863"/>
      <c r="C32" s="875" t="s">
        <v>611</v>
      </c>
      <c r="D32" s="876"/>
      <c r="E32" s="876"/>
      <c r="F32" s="876"/>
      <c r="G32" s="877"/>
      <c r="H32" s="877"/>
      <c r="I32" s="878"/>
      <c r="J32" s="878"/>
      <c r="K32" s="878"/>
      <c r="L32" s="879"/>
      <c r="M32" s="880"/>
      <c r="N32" s="881"/>
      <c r="O32" s="878"/>
      <c r="P32" s="882" t="s">
        <v>508</v>
      </c>
      <c r="Q32" s="883"/>
      <c r="R32" s="884"/>
      <c r="S32" s="1736"/>
      <c r="T32" s="885"/>
    </row>
    <row r="33" spans="1:20" s="864" customFormat="1" ht="23.25" customHeight="1">
      <c r="A33" s="863"/>
      <c r="C33" s="875" t="s">
        <v>612</v>
      </c>
      <c r="D33" s="876"/>
      <c r="E33" s="876"/>
      <c r="F33" s="876"/>
      <c r="G33" s="877"/>
      <c r="H33" s="877"/>
      <c r="I33" s="877"/>
      <c r="J33" s="877"/>
      <c r="K33" s="878"/>
      <c r="L33" s="879"/>
      <c r="M33" s="880"/>
      <c r="N33" s="881"/>
      <c r="O33" s="878"/>
      <c r="P33" s="867">
        <f>SUM(P34:P36)</f>
        <v>1335000</v>
      </c>
      <c r="Q33" s="883"/>
      <c r="R33" s="884"/>
      <c r="S33" s="1736"/>
      <c r="T33" s="885"/>
    </row>
    <row r="34" spans="1:20" s="864" customFormat="1" ht="23.25" customHeight="1">
      <c r="A34" s="863"/>
      <c r="C34" s="886" t="s">
        <v>613</v>
      </c>
      <c r="D34" s="887"/>
      <c r="E34" s="878"/>
      <c r="F34" s="878"/>
      <c r="G34" s="878"/>
      <c r="H34" s="878"/>
      <c r="I34" s="878"/>
      <c r="J34" s="878"/>
      <c r="K34" s="878"/>
      <c r="L34" s="888">
        <v>1500</v>
      </c>
      <c r="M34" s="861" t="s">
        <v>614</v>
      </c>
      <c r="N34" s="889"/>
      <c r="O34" s="890">
        <v>240</v>
      </c>
      <c r="P34" s="891">
        <f>O34*L34</f>
        <v>360000</v>
      </c>
      <c r="Q34" s="622"/>
      <c r="R34" s="892"/>
      <c r="S34" s="1736"/>
      <c r="T34" s="893"/>
    </row>
    <row r="35" spans="1:20" s="864" customFormat="1" ht="23.25" customHeight="1">
      <c r="A35" s="863"/>
      <c r="C35" s="886" t="s">
        <v>615</v>
      </c>
      <c r="D35" s="878"/>
      <c r="E35" s="878"/>
      <c r="F35" s="878"/>
      <c r="G35" s="878"/>
      <c r="H35" s="878"/>
      <c r="I35" s="878"/>
      <c r="J35" s="878"/>
      <c r="K35" s="878"/>
      <c r="L35" s="888">
        <v>750</v>
      </c>
      <c r="M35" s="861" t="s">
        <v>616</v>
      </c>
      <c r="N35" s="889"/>
      <c r="O35" s="890">
        <v>800</v>
      </c>
      <c r="P35" s="891">
        <f>O35*L35</f>
        <v>600000</v>
      </c>
      <c r="Q35" s="894"/>
      <c r="R35" s="894"/>
      <c r="S35" s="1736" t="s">
        <v>879</v>
      </c>
      <c r="T35" s="893"/>
    </row>
    <row r="36" spans="1:20" s="864" customFormat="1" ht="23.25" customHeight="1">
      <c r="A36" s="863"/>
      <c r="C36" s="895" t="s">
        <v>617</v>
      </c>
      <c r="D36" s="878"/>
      <c r="E36" s="878"/>
      <c r="F36" s="878"/>
      <c r="G36" s="878"/>
      <c r="H36" s="878"/>
      <c r="I36" s="878"/>
      <c r="J36" s="878"/>
      <c r="K36" s="878"/>
      <c r="L36" s="888">
        <v>150</v>
      </c>
      <c r="M36" s="861" t="s">
        <v>618</v>
      </c>
      <c r="N36" s="889"/>
      <c r="O36" s="890">
        <v>2500</v>
      </c>
      <c r="P36" s="891">
        <f>O36*L36</f>
        <v>375000</v>
      </c>
      <c r="Q36" s="894"/>
      <c r="R36" s="894"/>
      <c r="S36" s="1736"/>
      <c r="T36" s="893"/>
    </row>
    <row r="37" spans="1:20" s="864" customFormat="1" ht="23.25" customHeight="1">
      <c r="A37" s="863"/>
      <c r="C37" s="875" t="s">
        <v>619</v>
      </c>
      <c r="D37" s="876"/>
      <c r="E37" s="876"/>
      <c r="F37" s="876"/>
      <c r="G37" s="876"/>
      <c r="H37" s="876"/>
      <c r="I37" s="876"/>
      <c r="J37" s="876"/>
      <c r="K37" s="876"/>
      <c r="L37" s="896"/>
      <c r="M37" s="897"/>
      <c r="N37" s="876"/>
      <c r="O37" s="876"/>
      <c r="P37" s="898">
        <f>P45+P38</f>
        <v>766500</v>
      </c>
      <c r="Q37" s="899"/>
      <c r="R37" s="899"/>
      <c r="S37" s="1736"/>
      <c r="T37" s="893"/>
    </row>
    <row r="38" spans="1:20" s="864" customFormat="1" ht="23.25" customHeight="1">
      <c r="A38" s="863"/>
      <c r="C38" s="900" t="s">
        <v>620</v>
      </c>
      <c r="D38" s="901"/>
      <c r="E38" s="901"/>
      <c r="F38" s="901"/>
      <c r="G38" s="901"/>
      <c r="H38" s="901"/>
      <c r="I38" s="901"/>
      <c r="J38" s="901"/>
      <c r="K38" s="901"/>
      <c r="L38" s="902"/>
      <c r="M38" s="903"/>
      <c r="N38" s="901"/>
      <c r="O38" s="901"/>
      <c r="P38" s="867">
        <f>SUM(P39:P44)</f>
        <v>723000</v>
      </c>
      <c r="Q38" s="904"/>
      <c r="R38" s="904"/>
      <c r="S38" s="1736"/>
      <c r="T38" s="893"/>
    </row>
    <row r="39" spans="1:20" s="864" customFormat="1" ht="23.25" customHeight="1">
      <c r="A39" s="863"/>
      <c r="C39" s="669" t="s">
        <v>621</v>
      </c>
      <c r="D39" s="887"/>
      <c r="E39" s="878"/>
      <c r="F39" s="878"/>
      <c r="G39" s="878"/>
      <c r="H39" s="878"/>
      <c r="I39" s="878"/>
      <c r="J39" s="878"/>
      <c r="K39" s="878"/>
      <c r="L39" s="905">
        <v>15</v>
      </c>
      <c r="M39" s="861" t="s">
        <v>18</v>
      </c>
      <c r="N39" s="889"/>
      <c r="O39" s="890">
        <v>10000</v>
      </c>
      <c r="P39" s="906">
        <f>O39*L39</f>
        <v>150000</v>
      </c>
      <c r="Q39" s="894"/>
      <c r="R39" s="894"/>
      <c r="S39" s="1736"/>
    </row>
    <row r="40" spans="1:20" s="864" customFormat="1" ht="23.25" customHeight="1">
      <c r="A40" s="863"/>
      <c r="C40" s="907" t="s">
        <v>622</v>
      </c>
      <c r="D40" s="887"/>
      <c r="E40" s="878"/>
      <c r="F40" s="878"/>
      <c r="G40" s="878"/>
      <c r="H40" s="878"/>
      <c r="I40" s="878"/>
      <c r="J40" s="878"/>
      <c r="K40" s="878"/>
      <c r="L40" s="905">
        <v>600</v>
      </c>
      <c r="M40" s="861" t="s">
        <v>389</v>
      </c>
      <c r="N40" s="889"/>
      <c r="O40" s="890">
        <v>600</v>
      </c>
      <c r="P40" s="906">
        <f>O40*L40</f>
        <v>360000</v>
      </c>
      <c r="Q40" s="908"/>
      <c r="R40" s="908"/>
      <c r="S40" s="1736"/>
    </row>
    <row r="41" spans="1:20" s="864" customFormat="1" ht="23.25" customHeight="1">
      <c r="A41" s="863"/>
      <c r="C41" s="907" t="s">
        <v>623</v>
      </c>
      <c r="D41" s="887"/>
      <c r="E41" s="878"/>
      <c r="F41" s="878"/>
      <c r="G41" s="878"/>
      <c r="H41" s="878"/>
      <c r="I41" s="878"/>
      <c r="J41" s="878"/>
      <c r="K41" s="878"/>
      <c r="L41" s="888">
        <v>150</v>
      </c>
      <c r="M41" s="861" t="s">
        <v>624</v>
      </c>
      <c r="N41" s="889"/>
      <c r="O41" s="890">
        <v>240</v>
      </c>
      <c r="P41" s="891">
        <f t="shared" ref="P41" si="1">O41*L41</f>
        <v>36000</v>
      </c>
      <c r="Q41" s="894"/>
      <c r="R41" s="894"/>
      <c r="S41" s="1736"/>
    </row>
    <row r="42" spans="1:20" s="864" customFormat="1" ht="23.25" customHeight="1">
      <c r="A42" s="863"/>
      <c r="C42" s="842" t="s">
        <v>625</v>
      </c>
      <c r="D42" s="901"/>
      <c r="E42" s="901"/>
      <c r="F42" s="901"/>
      <c r="G42" s="901"/>
      <c r="H42" s="901"/>
      <c r="I42" s="901"/>
      <c r="J42" s="901"/>
      <c r="K42" s="901"/>
      <c r="L42" s="905">
        <v>75</v>
      </c>
      <c r="M42" s="861" t="s">
        <v>389</v>
      </c>
      <c r="N42" s="889"/>
      <c r="O42" s="890">
        <v>800</v>
      </c>
      <c r="P42" s="891">
        <f>O42*L42</f>
        <v>60000</v>
      </c>
      <c r="Q42" s="894"/>
      <c r="R42" s="894"/>
      <c r="S42" s="1736"/>
    </row>
    <row r="43" spans="1:20" s="864" customFormat="1" ht="23.25" customHeight="1">
      <c r="A43" s="863"/>
      <c r="C43" s="909" t="s">
        <v>626</v>
      </c>
      <c r="D43" s="887"/>
      <c r="E43" s="878"/>
      <c r="F43" s="878"/>
      <c r="G43" s="878"/>
      <c r="H43" s="878"/>
      <c r="I43" s="878"/>
      <c r="J43" s="878"/>
      <c r="K43" s="878"/>
      <c r="L43" s="888">
        <v>600</v>
      </c>
      <c r="M43" s="861" t="s">
        <v>627</v>
      </c>
      <c r="N43" s="889"/>
      <c r="O43" s="890">
        <v>70</v>
      </c>
      <c r="P43" s="891">
        <f>O43*L43</f>
        <v>42000</v>
      </c>
      <c r="Q43" s="892"/>
      <c r="R43" s="892"/>
      <c r="S43" s="1736"/>
    </row>
    <row r="44" spans="1:20" s="864" customFormat="1" ht="23.25" customHeight="1">
      <c r="A44" s="863"/>
      <c r="C44" s="909" t="s">
        <v>628</v>
      </c>
      <c r="D44" s="887"/>
      <c r="E44" s="878"/>
      <c r="F44" s="878"/>
      <c r="G44" s="878"/>
      <c r="H44" s="878"/>
      <c r="I44" s="878"/>
      <c r="J44" s="878"/>
      <c r="K44" s="878"/>
      <c r="L44" s="888">
        <v>30</v>
      </c>
      <c r="M44" s="861" t="s">
        <v>629</v>
      </c>
      <c r="N44" s="889"/>
      <c r="O44" s="890">
        <v>2500</v>
      </c>
      <c r="P44" s="891">
        <f>O44*L44</f>
        <v>75000</v>
      </c>
      <c r="Q44" s="892"/>
      <c r="R44" s="892"/>
      <c r="S44" s="1736"/>
    </row>
    <row r="45" spans="1:20" s="864" customFormat="1" ht="23.25" customHeight="1">
      <c r="A45" s="863"/>
      <c r="C45" s="910" t="s">
        <v>630</v>
      </c>
      <c r="D45" s="887"/>
      <c r="E45" s="878"/>
      <c r="F45" s="878"/>
      <c r="G45" s="878"/>
      <c r="H45" s="878"/>
      <c r="I45" s="878"/>
      <c r="J45" s="878"/>
      <c r="K45" s="878"/>
      <c r="L45" s="878"/>
      <c r="M45" s="911"/>
      <c r="N45" s="878"/>
      <c r="O45" s="878"/>
      <c r="P45" s="891">
        <f>SUM(P46:P48)</f>
        <v>43500</v>
      </c>
      <c r="Q45" s="892"/>
      <c r="R45" s="892"/>
      <c r="S45" s="1768" t="s">
        <v>880</v>
      </c>
    </row>
    <row r="46" spans="1:20" s="864" customFormat="1" ht="23.25" customHeight="1">
      <c r="A46" s="863"/>
      <c r="C46" s="909" t="s">
        <v>631</v>
      </c>
      <c r="D46" s="887"/>
      <c r="E46" s="878"/>
      <c r="F46" s="878"/>
      <c r="G46" s="878"/>
      <c r="H46" s="878"/>
      <c r="I46" s="878"/>
      <c r="J46" s="878"/>
      <c r="K46" s="878"/>
      <c r="L46" s="888">
        <v>1</v>
      </c>
      <c r="M46" s="861" t="s">
        <v>18</v>
      </c>
      <c r="N46" s="889"/>
      <c r="O46" s="890">
        <v>10000</v>
      </c>
      <c r="P46" s="891">
        <f>O46*L46</f>
        <v>10000</v>
      </c>
      <c r="Q46" s="892"/>
      <c r="R46" s="892"/>
      <c r="S46" s="1768"/>
    </row>
    <row r="47" spans="1:20" s="864" customFormat="1" ht="23.25" customHeight="1">
      <c r="A47" s="863"/>
      <c r="C47" s="909" t="s">
        <v>632</v>
      </c>
      <c r="D47" s="887"/>
      <c r="E47" s="878"/>
      <c r="F47" s="878"/>
      <c r="G47" s="878"/>
      <c r="H47" s="878"/>
      <c r="I47" s="878"/>
      <c r="J47" s="878"/>
      <c r="K47" s="878"/>
      <c r="L47" s="888">
        <v>50</v>
      </c>
      <c r="M47" s="861" t="s">
        <v>389</v>
      </c>
      <c r="N47" s="889"/>
      <c r="O47" s="890">
        <v>600</v>
      </c>
      <c r="P47" s="891">
        <f>O47*L47</f>
        <v>30000</v>
      </c>
      <c r="Q47" s="892"/>
      <c r="R47" s="892"/>
      <c r="S47" s="1768"/>
    </row>
    <row r="48" spans="1:20" s="864" customFormat="1" ht="23.25" customHeight="1">
      <c r="A48" s="863"/>
      <c r="C48" s="909" t="s">
        <v>633</v>
      </c>
      <c r="D48" s="887"/>
      <c r="E48" s="878"/>
      <c r="F48" s="878"/>
      <c r="G48" s="878"/>
      <c r="H48" s="878"/>
      <c r="I48" s="878"/>
      <c r="J48" s="878"/>
      <c r="K48" s="878"/>
      <c r="L48" s="888">
        <v>50</v>
      </c>
      <c r="M48" s="861" t="s">
        <v>19</v>
      </c>
      <c r="N48" s="889"/>
      <c r="O48" s="890">
        <v>70</v>
      </c>
      <c r="P48" s="891">
        <f>O48*L48</f>
        <v>3500</v>
      </c>
      <c r="Q48" s="892"/>
      <c r="R48" s="892"/>
      <c r="S48" s="1768"/>
    </row>
    <row r="49" spans="1:19" s="864" customFormat="1" ht="23.25" customHeight="1">
      <c r="A49" s="863"/>
      <c r="C49" s="912" t="s">
        <v>634</v>
      </c>
      <c r="D49" s="913"/>
      <c r="E49" s="877"/>
      <c r="F49" s="877"/>
      <c r="G49" s="877"/>
      <c r="H49" s="877"/>
      <c r="I49" s="877"/>
      <c r="J49" s="877"/>
      <c r="K49" s="877"/>
      <c r="L49" s="878"/>
      <c r="M49" s="911"/>
      <c r="N49" s="878"/>
      <c r="O49" s="878"/>
      <c r="P49" s="914">
        <f>P53+P50</f>
        <v>1725000</v>
      </c>
      <c r="Q49" s="915"/>
      <c r="R49" s="915"/>
      <c r="S49" s="1768"/>
    </row>
    <row r="50" spans="1:19" s="864" customFormat="1" ht="23.25" customHeight="1">
      <c r="A50" s="863"/>
      <c r="C50" s="912" t="s">
        <v>635</v>
      </c>
      <c r="D50" s="913"/>
      <c r="E50" s="877"/>
      <c r="F50" s="877"/>
      <c r="G50" s="877"/>
      <c r="H50" s="877"/>
      <c r="I50" s="877"/>
      <c r="J50" s="877"/>
      <c r="K50" s="877"/>
      <c r="L50" s="877"/>
      <c r="M50" s="916"/>
      <c r="N50" s="877"/>
      <c r="O50" s="877"/>
      <c r="P50" s="914">
        <f>SUM(P51:P52)</f>
        <v>1500000</v>
      </c>
      <c r="Q50" s="915"/>
      <c r="R50" s="915"/>
      <c r="S50" s="1414"/>
    </row>
    <row r="51" spans="1:19" s="864" customFormat="1" ht="23.25" customHeight="1">
      <c r="A51" s="863"/>
      <c r="C51" s="669" t="s">
        <v>636</v>
      </c>
      <c r="D51" s="887"/>
      <c r="E51" s="878"/>
      <c r="F51" s="878"/>
      <c r="G51" s="878"/>
      <c r="H51" s="878"/>
      <c r="I51" s="878"/>
      <c r="J51" s="878"/>
      <c r="K51" s="878"/>
      <c r="L51" s="888">
        <v>1</v>
      </c>
      <c r="M51" s="861" t="s">
        <v>637</v>
      </c>
      <c r="N51" s="889"/>
      <c r="O51" s="890">
        <v>1000000</v>
      </c>
      <c r="P51" s="891">
        <f>O51*L51</f>
        <v>1000000</v>
      </c>
      <c r="Q51" s="894"/>
      <c r="R51" s="894"/>
      <c r="S51" s="1414"/>
    </row>
    <row r="52" spans="1:19" s="864" customFormat="1" ht="23.25" customHeight="1">
      <c r="A52" s="863"/>
      <c r="C52" s="907" t="s">
        <v>638</v>
      </c>
      <c r="D52" s="887"/>
      <c r="E52" s="878"/>
      <c r="F52" s="878"/>
      <c r="G52" s="878"/>
      <c r="H52" s="878"/>
      <c r="I52" s="878"/>
      <c r="J52" s="878"/>
      <c r="K52" s="878"/>
      <c r="L52" s="905">
        <v>1</v>
      </c>
      <c r="M52" s="861" t="s">
        <v>637</v>
      </c>
      <c r="N52" s="889"/>
      <c r="O52" s="890">
        <v>500000</v>
      </c>
      <c r="P52" s="891">
        <f>O52*L52</f>
        <v>500000</v>
      </c>
      <c r="Q52" s="894"/>
      <c r="R52" s="894"/>
      <c r="S52" s="1414"/>
    </row>
    <row r="53" spans="1:19" s="864" customFormat="1" ht="23.25" customHeight="1">
      <c r="A53" s="863"/>
      <c r="C53" s="912" t="s">
        <v>639</v>
      </c>
      <c r="D53" s="917"/>
      <c r="E53" s="876"/>
      <c r="F53" s="878"/>
      <c r="G53" s="878"/>
      <c r="H53" s="878"/>
      <c r="I53" s="878"/>
      <c r="J53" s="878"/>
      <c r="K53" s="878"/>
      <c r="L53" s="878"/>
      <c r="M53" s="911"/>
      <c r="N53" s="878"/>
      <c r="O53" s="878"/>
      <c r="P53" s="914">
        <f>SUM(P54:P55)</f>
        <v>225000</v>
      </c>
      <c r="Q53" s="915"/>
      <c r="R53" s="915"/>
      <c r="S53" s="1414"/>
    </row>
    <row r="54" spans="1:19" s="864" customFormat="1" ht="23.25" customHeight="1">
      <c r="A54" s="863"/>
      <c r="C54" s="907" t="s">
        <v>640</v>
      </c>
      <c r="D54" s="887"/>
      <c r="E54" s="878"/>
      <c r="F54" s="878"/>
      <c r="G54" s="878"/>
      <c r="H54" s="878"/>
      <c r="I54" s="878"/>
      <c r="J54" s="878"/>
      <c r="K54" s="878"/>
      <c r="L54" s="918">
        <v>1000</v>
      </c>
      <c r="M54" s="861" t="s">
        <v>46</v>
      </c>
      <c r="N54" s="889"/>
      <c r="O54" s="890">
        <v>200</v>
      </c>
      <c r="P54" s="906">
        <f>O54*L54</f>
        <v>200000</v>
      </c>
      <c r="Q54" s="908"/>
      <c r="R54" s="908"/>
      <c r="S54" s="944" t="s">
        <v>882</v>
      </c>
    </row>
    <row r="55" spans="1:19" s="864" customFormat="1" ht="23.25" customHeight="1">
      <c r="A55" s="1189"/>
      <c r="B55" s="1190"/>
      <c r="C55" s="907" t="s">
        <v>641</v>
      </c>
      <c r="D55" s="887"/>
      <c r="E55" s="878"/>
      <c r="F55" s="878"/>
      <c r="G55" s="878"/>
      <c r="H55" s="878"/>
      <c r="I55" s="878"/>
      <c r="J55" s="878"/>
      <c r="K55" s="878"/>
      <c r="L55" s="918">
        <v>1000</v>
      </c>
      <c r="M55" s="861" t="s">
        <v>47</v>
      </c>
      <c r="N55" s="889"/>
      <c r="O55" s="890">
        <v>25</v>
      </c>
      <c r="P55" s="906">
        <f>O55*L55</f>
        <v>25000</v>
      </c>
      <c r="Q55" s="908"/>
      <c r="R55" s="908"/>
      <c r="S55" s="944"/>
    </row>
    <row r="56" spans="1:19" s="864" customFormat="1" ht="23.25" customHeight="1">
      <c r="A56" s="863"/>
      <c r="C56" s="912" t="s">
        <v>884</v>
      </c>
      <c r="D56" s="913"/>
      <c r="E56" s="877"/>
      <c r="F56" s="877"/>
      <c r="G56" s="877"/>
      <c r="H56" s="877"/>
      <c r="I56" s="877"/>
      <c r="J56" s="877"/>
      <c r="K56" s="877"/>
      <c r="L56" s="877"/>
      <c r="M56" s="911"/>
      <c r="N56" s="878"/>
      <c r="O56" s="878"/>
      <c r="P56" s="914">
        <f>SUM(P57:P60)</f>
        <v>1620000</v>
      </c>
      <c r="Q56" s="919"/>
      <c r="R56" s="919"/>
      <c r="S56" s="834" t="s">
        <v>187</v>
      </c>
    </row>
    <row r="57" spans="1:19" s="864" customFormat="1" ht="23.25" customHeight="1">
      <c r="A57" s="863"/>
      <c r="C57" s="886" t="s">
        <v>642</v>
      </c>
      <c r="D57" s="887"/>
      <c r="E57" s="878"/>
      <c r="F57" s="878"/>
      <c r="G57" s="878"/>
      <c r="H57" s="878"/>
      <c r="I57" s="878"/>
      <c r="J57" s="878"/>
      <c r="K57" s="878"/>
      <c r="L57" s="888">
        <v>1800</v>
      </c>
      <c r="M57" s="861" t="s">
        <v>643</v>
      </c>
      <c r="N57" s="889"/>
      <c r="O57" s="890">
        <v>240</v>
      </c>
      <c r="P57" s="891">
        <f>O57*L57</f>
        <v>432000</v>
      </c>
      <c r="Q57" s="892"/>
      <c r="R57" s="892"/>
      <c r="S57" s="1736" t="s">
        <v>883</v>
      </c>
    </row>
    <row r="58" spans="1:19" s="864" customFormat="1" ht="23.25" customHeight="1">
      <c r="A58" s="863"/>
      <c r="C58" s="920" t="s">
        <v>644</v>
      </c>
      <c r="D58" s="921"/>
      <c r="E58" s="878"/>
      <c r="F58" s="878"/>
      <c r="G58" s="878"/>
      <c r="H58" s="878"/>
      <c r="I58" s="878"/>
      <c r="J58" s="878"/>
      <c r="K58" s="878"/>
      <c r="L58" s="888">
        <v>900</v>
      </c>
      <c r="M58" s="861" t="s">
        <v>645</v>
      </c>
      <c r="N58" s="889"/>
      <c r="O58" s="890">
        <v>800</v>
      </c>
      <c r="P58" s="891">
        <f>O58*L58</f>
        <v>720000</v>
      </c>
      <c r="Q58" s="894"/>
      <c r="R58" s="894"/>
      <c r="S58" s="1736"/>
    </row>
    <row r="59" spans="1:19" s="864" customFormat="1" ht="23.25" customHeight="1">
      <c r="A59" s="863"/>
      <c r="C59" s="895" t="s">
        <v>646</v>
      </c>
      <c r="D59" s="878"/>
      <c r="E59" s="878"/>
      <c r="F59" s="878"/>
      <c r="G59" s="878"/>
      <c r="H59" s="878"/>
      <c r="I59" s="878"/>
      <c r="J59" s="878"/>
      <c r="K59" s="878"/>
      <c r="L59" s="888">
        <v>180</v>
      </c>
      <c r="M59" s="861" t="s">
        <v>647</v>
      </c>
      <c r="N59" s="889"/>
      <c r="O59" s="890">
        <v>100</v>
      </c>
      <c r="P59" s="891">
        <f>O59*L59</f>
        <v>18000</v>
      </c>
      <c r="Q59" s="894"/>
      <c r="R59" s="894"/>
      <c r="S59" s="1736"/>
    </row>
    <row r="60" spans="1:19" s="864" customFormat="1" ht="23.25" customHeight="1">
      <c r="A60" s="863"/>
      <c r="C60" s="907" t="s">
        <v>648</v>
      </c>
      <c r="D60" s="887"/>
      <c r="E60" s="878"/>
      <c r="F60" s="878"/>
      <c r="G60" s="878"/>
      <c r="H60" s="878"/>
      <c r="I60" s="878"/>
      <c r="J60" s="878"/>
      <c r="K60" s="878"/>
      <c r="L60" s="888">
        <v>180</v>
      </c>
      <c r="M60" s="861" t="s">
        <v>33</v>
      </c>
      <c r="N60" s="889"/>
      <c r="O60" s="890">
        <v>2500</v>
      </c>
      <c r="P60" s="891">
        <f>O60*L60</f>
        <v>450000</v>
      </c>
      <c r="Q60" s="922"/>
      <c r="R60" s="922"/>
      <c r="S60" s="1736"/>
    </row>
    <row r="61" spans="1:19" s="864" customFormat="1" ht="23.25" customHeight="1">
      <c r="A61" s="863"/>
      <c r="C61" s="912" t="s">
        <v>649</v>
      </c>
      <c r="D61" s="913"/>
      <c r="E61" s="877"/>
      <c r="F61" s="877"/>
      <c r="G61" s="877"/>
      <c r="H61" s="877"/>
      <c r="I61" s="877"/>
      <c r="J61" s="877"/>
      <c r="K61" s="877"/>
      <c r="L61" s="888"/>
      <c r="M61" s="861"/>
      <c r="N61" s="889"/>
      <c r="O61" s="890"/>
      <c r="P61" s="914">
        <f>P69+P62</f>
        <v>207300</v>
      </c>
      <c r="Q61" s="919"/>
      <c r="R61" s="923"/>
      <c r="S61" s="1736"/>
    </row>
    <row r="62" spans="1:19" s="864" customFormat="1" ht="23.25" customHeight="1">
      <c r="A62" s="863"/>
      <c r="C62" s="912" t="s">
        <v>650</v>
      </c>
      <c r="D62" s="913"/>
      <c r="E62" s="877"/>
      <c r="F62" s="877"/>
      <c r="G62" s="877"/>
      <c r="H62" s="877"/>
      <c r="I62" s="877"/>
      <c r="J62" s="877"/>
      <c r="K62" s="878"/>
      <c r="L62" s="878"/>
      <c r="M62" s="911"/>
      <c r="N62" s="878"/>
      <c r="O62" s="878"/>
      <c r="P62" s="914">
        <f>SUM(P63:P68)</f>
        <v>135400</v>
      </c>
      <c r="Q62" s="919"/>
      <c r="R62" s="923"/>
      <c r="S62" s="1736"/>
    </row>
    <row r="63" spans="1:19" s="864" customFormat="1" ht="23.25" customHeight="1">
      <c r="A63" s="863"/>
      <c r="C63" s="907" t="s">
        <v>651</v>
      </c>
      <c r="D63" s="887"/>
      <c r="E63" s="878"/>
      <c r="F63" s="878"/>
      <c r="G63" s="878"/>
      <c r="H63" s="878"/>
      <c r="I63" s="878"/>
      <c r="J63" s="878"/>
      <c r="K63" s="878"/>
      <c r="L63" s="888">
        <v>7</v>
      </c>
      <c r="M63" s="861" t="s">
        <v>652</v>
      </c>
      <c r="N63" s="889"/>
      <c r="O63" s="890">
        <v>1200</v>
      </c>
      <c r="P63" s="891">
        <f t="shared" ref="P63:P68" si="2">O63*L63</f>
        <v>8400</v>
      </c>
      <c r="Q63" s="894"/>
      <c r="R63" s="894"/>
      <c r="S63" s="1736"/>
    </row>
    <row r="64" spans="1:19" s="864" customFormat="1" ht="23.25" customHeight="1">
      <c r="A64" s="863"/>
      <c r="C64" s="886" t="s">
        <v>653</v>
      </c>
      <c r="D64" s="887"/>
      <c r="E64" s="878"/>
      <c r="F64" s="878"/>
      <c r="G64" s="878"/>
      <c r="H64" s="878"/>
      <c r="I64" s="878"/>
      <c r="J64" s="878"/>
      <c r="K64" s="878"/>
      <c r="L64" s="888">
        <v>100</v>
      </c>
      <c r="M64" s="861" t="s">
        <v>361</v>
      </c>
      <c r="N64" s="889"/>
      <c r="O64" s="890">
        <v>70</v>
      </c>
      <c r="P64" s="891">
        <f t="shared" si="2"/>
        <v>7000</v>
      </c>
      <c r="Q64" s="892"/>
      <c r="R64" s="892"/>
      <c r="S64" s="1736"/>
    </row>
    <row r="65" spans="1:19" s="864" customFormat="1" ht="23.25" customHeight="1">
      <c r="A65" s="863"/>
      <c r="C65" s="920" t="s">
        <v>654</v>
      </c>
      <c r="D65" s="921"/>
      <c r="E65" s="878"/>
      <c r="F65" s="878"/>
      <c r="G65" s="878"/>
      <c r="H65" s="878"/>
      <c r="I65" s="878"/>
      <c r="J65" s="878"/>
      <c r="K65" s="878"/>
      <c r="L65" s="888">
        <v>1</v>
      </c>
      <c r="M65" s="861" t="s">
        <v>361</v>
      </c>
      <c r="N65" s="889"/>
      <c r="O65" s="890">
        <v>30000</v>
      </c>
      <c r="P65" s="891">
        <f t="shared" si="2"/>
        <v>30000</v>
      </c>
      <c r="Q65" s="894"/>
      <c r="R65" s="894"/>
      <c r="S65" s="857"/>
    </row>
    <row r="66" spans="1:19" s="864" customFormat="1" ht="23.25" customHeight="1">
      <c r="A66" s="863"/>
      <c r="C66" s="895" t="s">
        <v>655</v>
      </c>
      <c r="D66" s="921"/>
      <c r="E66" s="878"/>
      <c r="F66" s="878"/>
      <c r="G66" s="878"/>
      <c r="H66" s="878"/>
      <c r="I66" s="878"/>
      <c r="J66" s="878"/>
      <c r="K66" s="878"/>
      <c r="L66" s="888">
        <v>1</v>
      </c>
      <c r="M66" s="861" t="s">
        <v>18</v>
      </c>
      <c r="N66" s="889"/>
      <c r="O66" s="890">
        <v>10000</v>
      </c>
      <c r="P66" s="891">
        <f t="shared" si="2"/>
        <v>10000</v>
      </c>
      <c r="Q66" s="894"/>
      <c r="R66" s="894"/>
      <c r="S66" s="857"/>
    </row>
    <row r="67" spans="1:19" s="864" customFormat="1" ht="23.25" customHeight="1">
      <c r="A67" s="863"/>
      <c r="C67" s="895" t="s">
        <v>656</v>
      </c>
      <c r="D67" s="878"/>
      <c r="E67" s="878"/>
      <c r="F67" s="878"/>
      <c r="G67" s="878"/>
      <c r="H67" s="878"/>
      <c r="I67" s="878"/>
      <c r="J67" s="878"/>
      <c r="K67" s="878"/>
      <c r="L67" s="888">
        <v>100</v>
      </c>
      <c r="M67" s="861" t="s">
        <v>361</v>
      </c>
      <c r="N67" s="889"/>
      <c r="O67" s="890">
        <v>600</v>
      </c>
      <c r="P67" s="891">
        <f t="shared" si="2"/>
        <v>60000</v>
      </c>
      <c r="Q67" s="894"/>
      <c r="R67" s="894"/>
      <c r="S67" s="857"/>
    </row>
    <row r="68" spans="1:19" s="864" customFormat="1" ht="23.25" customHeight="1">
      <c r="A68" s="863"/>
      <c r="C68" s="907" t="s">
        <v>657</v>
      </c>
      <c r="D68" s="887"/>
      <c r="E68" s="878"/>
      <c r="F68" s="878"/>
      <c r="G68" s="878"/>
      <c r="H68" s="878"/>
      <c r="I68" s="878"/>
      <c r="J68" s="878"/>
      <c r="K68" s="878"/>
      <c r="L68" s="888">
        <v>8</v>
      </c>
      <c r="M68" s="861" t="s">
        <v>658</v>
      </c>
      <c r="N68" s="889"/>
      <c r="O68" s="890">
        <v>2500</v>
      </c>
      <c r="P68" s="891">
        <f t="shared" si="2"/>
        <v>20000</v>
      </c>
      <c r="Q68" s="922"/>
      <c r="R68" s="922"/>
      <c r="S68" s="857"/>
    </row>
    <row r="69" spans="1:19" s="864" customFormat="1" ht="23.25" customHeight="1">
      <c r="A69" s="863"/>
      <c r="C69" s="912" t="s">
        <v>659</v>
      </c>
      <c r="D69" s="913"/>
      <c r="E69" s="877"/>
      <c r="F69" s="877"/>
      <c r="G69" s="877"/>
      <c r="H69" s="877"/>
      <c r="I69" s="877"/>
      <c r="J69" s="878"/>
      <c r="K69" s="878"/>
      <c r="L69" s="878"/>
      <c r="M69" s="911"/>
      <c r="N69" s="878"/>
      <c r="O69" s="878"/>
      <c r="P69" s="914">
        <f>SUM(P70:P74)</f>
        <v>71900</v>
      </c>
      <c r="Q69" s="915"/>
      <c r="R69" s="915"/>
      <c r="S69" s="857"/>
    </row>
    <row r="70" spans="1:19" s="864" customFormat="1" ht="23.25" customHeight="1">
      <c r="A70" s="863"/>
      <c r="C70" s="924" t="s">
        <v>651</v>
      </c>
      <c r="D70" s="878"/>
      <c r="E70" s="878"/>
      <c r="F70" s="878"/>
      <c r="G70" s="878"/>
      <c r="H70" s="878"/>
      <c r="I70" s="878"/>
      <c r="J70" s="878"/>
      <c r="K70" s="878"/>
      <c r="L70" s="888">
        <v>7</v>
      </c>
      <c r="M70" s="861" t="s">
        <v>652</v>
      </c>
      <c r="N70" s="889"/>
      <c r="O70" s="890">
        <v>1200</v>
      </c>
      <c r="P70" s="891">
        <f>O70*L70</f>
        <v>8400</v>
      </c>
      <c r="Q70" s="894"/>
      <c r="R70" s="894"/>
      <c r="S70" s="857"/>
    </row>
    <row r="71" spans="1:19" s="864" customFormat="1" ht="23.25" customHeight="1">
      <c r="A71" s="863"/>
      <c r="C71" s="907" t="s">
        <v>660</v>
      </c>
      <c r="D71" s="887"/>
      <c r="E71" s="878"/>
      <c r="F71" s="878"/>
      <c r="G71" s="878"/>
      <c r="H71" s="878"/>
      <c r="I71" s="878"/>
      <c r="J71" s="878"/>
      <c r="K71" s="878"/>
      <c r="L71" s="905">
        <v>50</v>
      </c>
      <c r="M71" s="861" t="s">
        <v>361</v>
      </c>
      <c r="N71" s="889"/>
      <c r="O71" s="890">
        <v>70</v>
      </c>
      <c r="P71" s="891">
        <f>O71*L71</f>
        <v>3500</v>
      </c>
      <c r="Q71" s="894"/>
      <c r="R71" s="894"/>
      <c r="S71" s="857"/>
    </row>
    <row r="72" spans="1:19" s="864" customFormat="1" ht="23.25" customHeight="1">
      <c r="A72" s="863"/>
      <c r="C72" s="907" t="s">
        <v>661</v>
      </c>
      <c r="D72" s="887"/>
      <c r="E72" s="878"/>
      <c r="F72" s="878"/>
      <c r="G72" s="878"/>
      <c r="H72" s="878"/>
      <c r="I72" s="878"/>
      <c r="J72" s="878"/>
      <c r="K72" s="878"/>
      <c r="L72" s="905">
        <v>1</v>
      </c>
      <c r="M72" s="861" t="s">
        <v>18</v>
      </c>
      <c r="N72" s="889"/>
      <c r="O72" s="890">
        <v>10000</v>
      </c>
      <c r="P72" s="891">
        <f>O72*L72</f>
        <v>10000</v>
      </c>
      <c r="Q72" s="894"/>
      <c r="R72" s="894"/>
      <c r="S72" s="857"/>
    </row>
    <row r="73" spans="1:19" s="864" customFormat="1" ht="23.25" customHeight="1">
      <c r="A73" s="863"/>
      <c r="C73" s="907" t="s">
        <v>662</v>
      </c>
      <c r="D73" s="887"/>
      <c r="E73" s="878"/>
      <c r="F73" s="878"/>
      <c r="G73" s="878"/>
      <c r="H73" s="878"/>
      <c r="I73" s="878"/>
      <c r="J73" s="878"/>
      <c r="K73" s="878"/>
      <c r="L73" s="905">
        <v>50</v>
      </c>
      <c r="M73" s="861" t="s">
        <v>361</v>
      </c>
      <c r="N73" s="889"/>
      <c r="O73" s="890">
        <v>600</v>
      </c>
      <c r="P73" s="891">
        <f>O73*L73</f>
        <v>30000</v>
      </c>
      <c r="Q73" s="894"/>
      <c r="R73" s="894"/>
      <c r="S73" s="857"/>
    </row>
    <row r="74" spans="1:19" s="864" customFormat="1" ht="23.25" customHeight="1">
      <c r="A74" s="863"/>
      <c r="C74" s="907" t="s">
        <v>663</v>
      </c>
      <c r="D74" s="862"/>
      <c r="E74" s="862"/>
      <c r="F74" s="862"/>
      <c r="G74" s="862"/>
      <c r="H74" s="862"/>
      <c r="I74" s="862"/>
      <c r="J74" s="862"/>
      <c r="K74" s="862"/>
      <c r="L74" s="855">
        <v>8</v>
      </c>
      <c r="M74" s="861" t="s">
        <v>658</v>
      </c>
      <c r="N74" s="857"/>
      <c r="O74" s="858">
        <v>2500</v>
      </c>
      <c r="P74" s="891">
        <f>O74*L74</f>
        <v>20000</v>
      </c>
      <c r="Q74" s="894"/>
      <c r="R74" s="894"/>
      <c r="S74" s="857"/>
    </row>
    <row r="75" spans="1:19" s="864" customFormat="1" ht="23.25" customHeight="1">
      <c r="A75" s="863"/>
      <c r="C75" s="912" t="s">
        <v>664</v>
      </c>
      <c r="D75" s="857"/>
      <c r="E75" s="857"/>
      <c r="F75" s="857"/>
      <c r="G75" s="857"/>
      <c r="H75" s="857"/>
      <c r="I75" s="857"/>
      <c r="J75" s="857"/>
      <c r="K75" s="857"/>
      <c r="L75" s="855"/>
      <c r="M75" s="856"/>
      <c r="N75" s="857"/>
      <c r="O75" s="858"/>
      <c r="P75" s="872">
        <f>SUM(P76:P84)</f>
        <v>3342000</v>
      </c>
      <c r="Q75" s="925"/>
      <c r="R75" s="925"/>
      <c r="S75" s="857"/>
    </row>
    <row r="76" spans="1:19" s="864" customFormat="1" ht="23.25" customHeight="1">
      <c r="A76" s="863"/>
      <c r="C76" s="669" t="s">
        <v>665</v>
      </c>
      <c r="D76" s="901"/>
      <c r="E76" s="901"/>
      <c r="F76" s="901"/>
      <c r="G76" s="901"/>
      <c r="H76" s="901"/>
      <c r="I76" s="901"/>
      <c r="J76" s="901"/>
      <c r="K76" s="901"/>
      <c r="L76" s="889">
        <v>315</v>
      </c>
      <c r="M76" s="861" t="s">
        <v>666</v>
      </c>
      <c r="N76" s="889"/>
      <c r="O76" s="890">
        <v>1200</v>
      </c>
      <c r="P76" s="926">
        <f t="shared" ref="P76:P81" si="3">L76*O76</f>
        <v>378000</v>
      </c>
      <c r="Q76" s="925"/>
      <c r="R76" s="925"/>
      <c r="S76" s="857"/>
    </row>
    <row r="77" spans="1:19" s="864" customFormat="1" ht="23.25" customHeight="1">
      <c r="A77" s="863"/>
      <c r="C77" s="669" t="s">
        <v>667</v>
      </c>
      <c r="D77" s="901"/>
      <c r="E77" s="901"/>
      <c r="F77" s="901"/>
      <c r="G77" s="901"/>
      <c r="H77" s="901"/>
      <c r="I77" s="901"/>
      <c r="J77" s="901"/>
      <c r="K77" s="901"/>
      <c r="L77" s="889">
        <v>45</v>
      </c>
      <c r="M77" s="861" t="s">
        <v>618</v>
      </c>
      <c r="N77" s="889"/>
      <c r="O77" s="890">
        <v>10000</v>
      </c>
      <c r="P77" s="926">
        <f t="shared" si="3"/>
        <v>450000</v>
      </c>
      <c r="Q77" s="925"/>
      <c r="R77" s="925"/>
      <c r="S77" s="857"/>
    </row>
    <row r="78" spans="1:19" s="864" customFormat="1" ht="23.25" customHeight="1">
      <c r="A78" s="863"/>
      <c r="C78" s="669" t="s">
        <v>668</v>
      </c>
      <c r="D78" s="901"/>
      <c r="E78" s="901"/>
      <c r="F78" s="901"/>
      <c r="G78" s="901"/>
      <c r="H78" s="901"/>
      <c r="I78" s="901"/>
      <c r="J78" s="901"/>
      <c r="K78" s="901"/>
      <c r="L78" s="889">
        <v>2250</v>
      </c>
      <c r="M78" s="861" t="s">
        <v>669</v>
      </c>
      <c r="N78" s="889"/>
      <c r="O78" s="890">
        <v>600</v>
      </c>
      <c r="P78" s="926">
        <f t="shared" si="3"/>
        <v>1350000</v>
      </c>
      <c r="Q78" s="925"/>
      <c r="R78" s="925"/>
      <c r="S78" s="857"/>
    </row>
    <row r="79" spans="1:19" s="864" customFormat="1" ht="23.25" customHeight="1">
      <c r="A79" s="863"/>
      <c r="C79" s="669" t="s">
        <v>670</v>
      </c>
      <c r="D79" s="901"/>
      <c r="E79" s="901"/>
      <c r="F79" s="901"/>
      <c r="G79" s="901"/>
      <c r="H79" s="901"/>
      <c r="I79" s="901"/>
      <c r="J79" s="901"/>
      <c r="K79" s="901"/>
      <c r="L79" s="905">
        <v>225</v>
      </c>
      <c r="M79" s="861" t="s">
        <v>671</v>
      </c>
      <c r="N79" s="889"/>
      <c r="O79" s="890">
        <v>240</v>
      </c>
      <c r="P79" s="926">
        <f t="shared" si="3"/>
        <v>54000</v>
      </c>
      <c r="Q79" s="908"/>
      <c r="R79" s="908"/>
      <c r="S79" s="857"/>
    </row>
    <row r="80" spans="1:19" s="864" customFormat="1" ht="23.25" customHeight="1">
      <c r="A80" s="1189"/>
      <c r="B80" s="1190"/>
      <c r="C80" s="669" t="s">
        <v>672</v>
      </c>
      <c r="D80" s="901"/>
      <c r="E80" s="901"/>
      <c r="F80" s="901"/>
      <c r="G80" s="901"/>
      <c r="H80" s="901"/>
      <c r="I80" s="901"/>
      <c r="J80" s="901"/>
      <c r="K80" s="901"/>
      <c r="L80" s="905">
        <v>150</v>
      </c>
      <c r="M80" s="861" t="s">
        <v>673</v>
      </c>
      <c r="N80" s="889"/>
      <c r="O80" s="890">
        <v>800</v>
      </c>
      <c r="P80" s="926">
        <f t="shared" si="3"/>
        <v>120000</v>
      </c>
      <c r="Q80" s="908"/>
      <c r="R80" s="908"/>
      <c r="S80" s="857"/>
    </row>
    <row r="81" spans="1:20" s="864" customFormat="1" ht="23.25" customHeight="1">
      <c r="A81" s="863"/>
      <c r="C81" s="669" t="s">
        <v>674</v>
      </c>
      <c r="D81" s="901"/>
      <c r="E81" s="901"/>
      <c r="F81" s="901"/>
      <c r="G81" s="901"/>
      <c r="H81" s="901"/>
      <c r="I81" s="901"/>
      <c r="J81" s="901"/>
      <c r="K81" s="901"/>
      <c r="L81" s="905">
        <v>750</v>
      </c>
      <c r="M81" s="861" t="s">
        <v>627</v>
      </c>
      <c r="N81" s="889"/>
      <c r="O81" s="890">
        <v>70</v>
      </c>
      <c r="P81" s="926">
        <f t="shared" si="3"/>
        <v>52500</v>
      </c>
      <c r="Q81" s="908"/>
      <c r="R81" s="908"/>
      <c r="S81" s="857"/>
    </row>
    <row r="82" spans="1:20" s="864" customFormat="1" ht="23.25" customHeight="1">
      <c r="A82" s="863"/>
      <c r="C82" s="669" t="s">
        <v>675</v>
      </c>
      <c r="D82" s="901"/>
      <c r="E82" s="901"/>
      <c r="F82" s="901"/>
      <c r="G82" s="901"/>
      <c r="H82" s="901"/>
      <c r="I82" s="901"/>
      <c r="J82" s="901"/>
      <c r="K82" s="901"/>
      <c r="L82" s="905">
        <v>45</v>
      </c>
      <c r="M82" s="861" t="s">
        <v>618</v>
      </c>
      <c r="N82" s="889"/>
      <c r="O82" s="890">
        <v>2500</v>
      </c>
      <c r="P82" s="926">
        <f t="shared" ref="P82" si="4">L82*O82</f>
        <v>112500</v>
      </c>
      <c r="Q82" s="908"/>
      <c r="R82" s="908"/>
      <c r="S82" s="857"/>
    </row>
    <row r="83" spans="1:20" s="864" customFormat="1" ht="23.25" customHeight="1">
      <c r="A83" s="863"/>
      <c r="C83" s="669" t="s">
        <v>676</v>
      </c>
      <c r="D83" s="901"/>
      <c r="E83" s="901"/>
      <c r="F83" s="901"/>
      <c r="G83" s="901"/>
      <c r="H83" s="901"/>
      <c r="I83" s="901"/>
      <c r="J83" s="901"/>
      <c r="K83" s="901"/>
      <c r="L83" s="905">
        <v>3000</v>
      </c>
      <c r="M83" s="861" t="s">
        <v>46</v>
      </c>
      <c r="N83" s="889"/>
      <c r="O83" s="890">
        <v>250</v>
      </c>
      <c r="P83" s="926">
        <f>L83*O83</f>
        <v>750000</v>
      </c>
      <c r="Q83" s="908"/>
      <c r="R83" s="908"/>
      <c r="S83" s="857"/>
    </row>
    <row r="84" spans="1:20" s="864" customFormat="1" ht="23.25" customHeight="1">
      <c r="A84" s="863"/>
      <c r="C84" s="669" t="s">
        <v>677</v>
      </c>
      <c r="D84" s="901"/>
      <c r="E84" s="901"/>
      <c r="F84" s="901"/>
      <c r="G84" s="901"/>
      <c r="H84" s="901"/>
      <c r="I84" s="901"/>
      <c r="J84" s="901"/>
      <c r="K84" s="901"/>
      <c r="L84" s="905">
        <v>3000</v>
      </c>
      <c r="M84" s="861" t="s">
        <v>19</v>
      </c>
      <c r="N84" s="889"/>
      <c r="O84" s="890">
        <v>25</v>
      </c>
      <c r="P84" s="926">
        <f>L84*O84</f>
        <v>75000</v>
      </c>
      <c r="Q84" s="927"/>
      <c r="R84" s="927"/>
      <c r="S84" s="857"/>
    </row>
    <row r="85" spans="1:20" s="864" customFormat="1" ht="23.25" customHeight="1">
      <c r="A85" s="863"/>
      <c r="C85" s="928" t="s">
        <v>678</v>
      </c>
      <c r="D85" s="876"/>
      <c r="E85" s="876"/>
      <c r="F85" s="876"/>
      <c r="G85" s="876"/>
      <c r="H85" s="876"/>
      <c r="I85" s="877"/>
      <c r="J85" s="877"/>
      <c r="K85" s="877"/>
      <c r="L85" s="929"/>
      <c r="M85" s="916"/>
      <c r="N85" s="877"/>
      <c r="O85" s="877"/>
      <c r="P85" s="898">
        <f>SUM(P86:P93)</f>
        <v>955500</v>
      </c>
      <c r="Q85" s="899"/>
      <c r="R85" s="899"/>
      <c r="S85" s="857"/>
      <c r="T85" s="893"/>
    </row>
    <row r="86" spans="1:20" s="864" customFormat="1" ht="23.25" customHeight="1">
      <c r="A86" s="863"/>
      <c r="C86" s="886" t="s">
        <v>679</v>
      </c>
      <c r="D86" s="887"/>
      <c r="E86" s="878"/>
      <c r="F86" s="878"/>
      <c r="G86" s="878"/>
      <c r="H86" s="878"/>
      <c r="I86" s="878"/>
      <c r="J86" s="878"/>
      <c r="K86" s="878"/>
      <c r="L86" s="888">
        <v>98</v>
      </c>
      <c r="M86" s="861" t="s">
        <v>680</v>
      </c>
      <c r="N86" s="889"/>
      <c r="O86" s="890">
        <v>1200</v>
      </c>
      <c r="P86" s="891">
        <f t="shared" ref="P86:P93" si="5">O86*L86</f>
        <v>117600</v>
      </c>
      <c r="Q86" s="930"/>
      <c r="R86" s="892"/>
      <c r="S86" s="857"/>
      <c r="T86" s="893"/>
    </row>
    <row r="87" spans="1:20" s="864" customFormat="1" ht="23.25" customHeight="1">
      <c r="A87" s="863"/>
      <c r="C87" s="920" t="s">
        <v>681</v>
      </c>
      <c r="D87" s="921"/>
      <c r="E87" s="878"/>
      <c r="F87" s="878"/>
      <c r="G87" s="878"/>
      <c r="H87" s="878"/>
      <c r="I87" s="878"/>
      <c r="J87" s="878"/>
      <c r="K87" s="878"/>
      <c r="L87" s="888">
        <v>14</v>
      </c>
      <c r="M87" s="861" t="s">
        <v>33</v>
      </c>
      <c r="N87" s="889"/>
      <c r="O87" s="890">
        <v>10000</v>
      </c>
      <c r="P87" s="891">
        <f t="shared" si="5"/>
        <v>140000</v>
      </c>
      <c r="Q87" s="894"/>
      <c r="R87" s="894"/>
      <c r="S87" s="857"/>
    </row>
    <row r="88" spans="1:20" s="864" customFormat="1" ht="23.25" customHeight="1">
      <c r="A88" s="863"/>
      <c r="C88" s="895" t="s">
        <v>682</v>
      </c>
      <c r="D88" s="878"/>
      <c r="E88" s="878"/>
      <c r="F88" s="878"/>
      <c r="G88" s="878"/>
      <c r="H88" s="878"/>
      <c r="I88" s="878"/>
      <c r="J88" s="878"/>
      <c r="K88" s="878"/>
      <c r="L88" s="888">
        <v>420</v>
      </c>
      <c r="M88" s="861" t="s">
        <v>17</v>
      </c>
      <c r="N88" s="889"/>
      <c r="O88" s="890">
        <v>600</v>
      </c>
      <c r="P88" s="891">
        <f t="shared" si="5"/>
        <v>252000</v>
      </c>
      <c r="Q88" s="894"/>
      <c r="R88" s="894"/>
      <c r="S88" s="857"/>
    </row>
    <row r="89" spans="1:20" s="864" customFormat="1" ht="23.25" customHeight="1">
      <c r="A89" s="863"/>
      <c r="C89" s="907" t="s">
        <v>683</v>
      </c>
      <c r="D89" s="887"/>
      <c r="E89" s="878"/>
      <c r="F89" s="878"/>
      <c r="G89" s="878"/>
      <c r="H89" s="878"/>
      <c r="I89" s="878"/>
      <c r="J89" s="878"/>
      <c r="K89" s="878"/>
      <c r="L89" s="888">
        <v>70</v>
      </c>
      <c r="M89" s="861" t="s">
        <v>17</v>
      </c>
      <c r="N89" s="889"/>
      <c r="O89" s="890">
        <v>240</v>
      </c>
      <c r="P89" s="891">
        <f t="shared" si="5"/>
        <v>16800</v>
      </c>
      <c r="Q89" s="922"/>
      <c r="R89" s="922"/>
      <c r="S89" s="857"/>
    </row>
    <row r="90" spans="1:20" s="864" customFormat="1" ht="23.25" customHeight="1">
      <c r="A90" s="863"/>
      <c r="C90" s="907" t="s">
        <v>684</v>
      </c>
      <c r="D90" s="901"/>
      <c r="E90" s="901"/>
      <c r="F90" s="901"/>
      <c r="G90" s="901"/>
      <c r="H90" s="901"/>
      <c r="I90" s="901"/>
      <c r="J90" s="901"/>
      <c r="K90" s="901"/>
      <c r="L90" s="905">
        <v>70</v>
      </c>
      <c r="M90" s="861" t="s">
        <v>17</v>
      </c>
      <c r="N90" s="889"/>
      <c r="O90" s="890">
        <v>800</v>
      </c>
      <c r="P90" s="891">
        <f t="shared" si="5"/>
        <v>56000</v>
      </c>
      <c r="Q90" s="894"/>
      <c r="R90" s="894"/>
      <c r="S90" s="857"/>
    </row>
    <row r="91" spans="1:20" s="864" customFormat="1" ht="23.25" customHeight="1">
      <c r="A91" s="863"/>
      <c r="C91" s="907" t="s">
        <v>685</v>
      </c>
      <c r="D91" s="901"/>
      <c r="E91" s="901"/>
      <c r="F91" s="901"/>
      <c r="G91" s="901"/>
      <c r="H91" s="901"/>
      <c r="I91" s="901"/>
      <c r="J91" s="901"/>
      <c r="K91" s="901"/>
      <c r="L91" s="905">
        <v>420</v>
      </c>
      <c r="M91" s="861" t="s">
        <v>17</v>
      </c>
      <c r="N91" s="889"/>
      <c r="O91" s="890">
        <v>800</v>
      </c>
      <c r="P91" s="891">
        <f t="shared" si="5"/>
        <v>336000</v>
      </c>
      <c r="Q91" s="894"/>
      <c r="R91" s="894"/>
      <c r="S91" s="857"/>
    </row>
    <row r="92" spans="1:20" s="864" customFormat="1" ht="23.25" customHeight="1">
      <c r="A92" s="863"/>
      <c r="C92" s="909" t="s">
        <v>686</v>
      </c>
      <c r="D92" s="901"/>
      <c r="E92" s="901"/>
      <c r="F92" s="901"/>
      <c r="G92" s="901"/>
      <c r="H92" s="901"/>
      <c r="I92" s="901"/>
      <c r="J92" s="901"/>
      <c r="K92" s="901"/>
      <c r="L92" s="905">
        <v>30</v>
      </c>
      <c r="M92" s="861" t="s">
        <v>19</v>
      </c>
      <c r="N92" s="889"/>
      <c r="O92" s="890">
        <v>70</v>
      </c>
      <c r="P92" s="891">
        <f t="shared" si="5"/>
        <v>2100</v>
      </c>
      <c r="Q92" s="894"/>
      <c r="R92" s="894"/>
      <c r="S92" s="857"/>
    </row>
    <row r="93" spans="1:20" s="864" customFormat="1" ht="23.25" customHeight="1">
      <c r="A93" s="863"/>
      <c r="C93" s="909" t="s">
        <v>687</v>
      </c>
      <c r="D93" s="887"/>
      <c r="E93" s="878"/>
      <c r="F93" s="878"/>
      <c r="G93" s="878"/>
      <c r="H93" s="878"/>
      <c r="I93" s="878"/>
      <c r="J93" s="878"/>
      <c r="K93" s="878"/>
      <c r="L93" s="888">
        <v>14</v>
      </c>
      <c r="M93" s="861" t="s">
        <v>33</v>
      </c>
      <c r="N93" s="889"/>
      <c r="O93" s="890">
        <v>2500</v>
      </c>
      <c r="P93" s="891">
        <f t="shared" si="5"/>
        <v>35000</v>
      </c>
      <c r="Q93" s="892"/>
      <c r="R93" s="892"/>
      <c r="S93" s="857"/>
    </row>
    <row r="94" spans="1:20" s="839" customFormat="1" ht="36.75" customHeight="1">
      <c r="A94" s="838"/>
      <c r="C94" s="1769" t="s">
        <v>1721</v>
      </c>
      <c r="D94" s="1770"/>
      <c r="E94" s="1770"/>
      <c r="F94" s="1770"/>
      <c r="G94" s="1770"/>
      <c r="H94" s="1770"/>
      <c r="I94" s="1770"/>
      <c r="J94" s="1770"/>
      <c r="K94" s="1771"/>
      <c r="L94" s="888"/>
      <c r="M94" s="861"/>
      <c r="N94" s="889"/>
      <c r="O94" s="890"/>
      <c r="P94" s="914">
        <f>SUM(P95:P101)</f>
        <v>142300</v>
      </c>
      <c r="Q94" s="919"/>
      <c r="R94" s="919"/>
      <c r="S94" s="857"/>
    </row>
    <row r="95" spans="1:20" s="864" customFormat="1" ht="23.25" customHeight="1">
      <c r="A95" s="863"/>
      <c r="C95" s="886" t="s">
        <v>631</v>
      </c>
      <c r="D95" s="887"/>
      <c r="E95" s="878"/>
      <c r="F95" s="878"/>
      <c r="G95" s="878"/>
      <c r="H95" s="878"/>
      <c r="I95" s="878"/>
      <c r="J95" s="878"/>
      <c r="K95" s="878"/>
      <c r="L95" s="888">
        <v>1</v>
      </c>
      <c r="M95" s="861" t="s">
        <v>18</v>
      </c>
      <c r="N95" s="889"/>
      <c r="O95" s="890">
        <v>10000</v>
      </c>
      <c r="P95" s="891">
        <f t="shared" ref="P95:P101" si="6">O95*L95</f>
        <v>10000</v>
      </c>
      <c r="Q95" s="892"/>
      <c r="R95" s="892"/>
      <c r="S95" s="857"/>
    </row>
    <row r="96" spans="1:20" s="864" customFormat="1" ht="23.25" customHeight="1">
      <c r="A96" s="863"/>
      <c r="C96" s="920" t="s">
        <v>688</v>
      </c>
      <c r="D96" s="921"/>
      <c r="E96" s="878"/>
      <c r="F96" s="878"/>
      <c r="G96" s="878"/>
      <c r="H96" s="878"/>
      <c r="I96" s="878"/>
      <c r="J96" s="878"/>
      <c r="K96" s="878"/>
      <c r="L96" s="888">
        <v>14</v>
      </c>
      <c r="M96" s="861" t="s">
        <v>680</v>
      </c>
      <c r="N96" s="889"/>
      <c r="O96" s="890">
        <v>1200</v>
      </c>
      <c r="P96" s="891">
        <f t="shared" si="6"/>
        <v>16800</v>
      </c>
      <c r="Q96" s="894"/>
      <c r="R96" s="894"/>
      <c r="S96" s="857"/>
    </row>
    <row r="97" spans="1:19" s="864" customFormat="1" ht="23.25" customHeight="1">
      <c r="A97" s="863"/>
      <c r="C97" s="895" t="s">
        <v>689</v>
      </c>
      <c r="D97" s="878"/>
      <c r="E97" s="878"/>
      <c r="F97" s="878"/>
      <c r="G97" s="878"/>
      <c r="H97" s="878"/>
      <c r="I97" s="878"/>
      <c r="J97" s="878"/>
      <c r="K97" s="878"/>
      <c r="L97" s="888">
        <v>160</v>
      </c>
      <c r="M97" s="861" t="s">
        <v>17</v>
      </c>
      <c r="N97" s="889"/>
      <c r="O97" s="890">
        <v>600</v>
      </c>
      <c r="P97" s="891">
        <f t="shared" si="6"/>
        <v>96000</v>
      </c>
      <c r="Q97" s="894"/>
      <c r="R97" s="894"/>
      <c r="S97" s="857"/>
    </row>
    <row r="98" spans="1:19" s="864" customFormat="1" ht="23.25" customHeight="1">
      <c r="A98" s="863"/>
      <c r="C98" s="907" t="s">
        <v>690</v>
      </c>
      <c r="D98" s="887"/>
      <c r="E98" s="878"/>
      <c r="F98" s="878"/>
      <c r="G98" s="878"/>
      <c r="H98" s="878"/>
      <c r="I98" s="878"/>
      <c r="J98" s="878"/>
      <c r="K98" s="878"/>
      <c r="L98" s="888">
        <v>10</v>
      </c>
      <c r="M98" s="861" t="s">
        <v>17</v>
      </c>
      <c r="N98" s="889"/>
      <c r="O98" s="890">
        <v>240</v>
      </c>
      <c r="P98" s="891">
        <f t="shared" si="6"/>
        <v>2400</v>
      </c>
      <c r="Q98" s="922"/>
      <c r="R98" s="922"/>
      <c r="S98" s="857"/>
    </row>
    <row r="99" spans="1:19" s="864" customFormat="1" ht="23.25" customHeight="1">
      <c r="A99" s="863"/>
      <c r="C99" s="842" t="s">
        <v>691</v>
      </c>
      <c r="D99" s="901"/>
      <c r="E99" s="901"/>
      <c r="F99" s="901"/>
      <c r="G99" s="901"/>
      <c r="H99" s="901"/>
      <c r="I99" s="901"/>
      <c r="J99" s="901"/>
      <c r="K99" s="901"/>
      <c r="L99" s="905">
        <v>5</v>
      </c>
      <c r="M99" s="861" t="s">
        <v>25</v>
      </c>
      <c r="N99" s="889"/>
      <c r="O99" s="890">
        <v>800</v>
      </c>
      <c r="P99" s="891">
        <f t="shared" si="6"/>
        <v>4000</v>
      </c>
      <c r="Q99" s="894"/>
      <c r="R99" s="894"/>
      <c r="S99" s="857"/>
    </row>
    <row r="100" spans="1:19" s="864" customFormat="1" ht="23.25" customHeight="1">
      <c r="A100" s="863"/>
      <c r="C100" s="909" t="s">
        <v>692</v>
      </c>
      <c r="D100" s="887"/>
      <c r="E100" s="878"/>
      <c r="F100" s="878"/>
      <c r="G100" s="878"/>
      <c r="H100" s="878"/>
      <c r="I100" s="878"/>
      <c r="J100" s="878"/>
      <c r="K100" s="878"/>
      <c r="L100" s="888">
        <v>80</v>
      </c>
      <c r="M100" s="861" t="s">
        <v>19</v>
      </c>
      <c r="N100" s="889"/>
      <c r="O100" s="890">
        <v>70</v>
      </c>
      <c r="P100" s="891">
        <f t="shared" si="6"/>
        <v>5600</v>
      </c>
      <c r="Q100" s="892"/>
      <c r="R100" s="892"/>
      <c r="S100" s="857"/>
    </row>
    <row r="101" spans="1:19" s="864" customFormat="1" ht="23.25" customHeight="1">
      <c r="A101" s="863"/>
      <c r="C101" s="909" t="s">
        <v>693</v>
      </c>
      <c r="D101" s="887"/>
      <c r="E101" s="878"/>
      <c r="F101" s="878"/>
      <c r="G101" s="878"/>
      <c r="H101" s="878"/>
      <c r="I101" s="878"/>
      <c r="J101" s="878"/>
      <c r="K101" s="878"/>
      <c r="L101" s="888">
        <v>3</v>
      </c>
      <c r="M101" s="861" t="s">
        <v>33</v>
      </c>
      <c r="N101" s="889"/>
      <c r="O101" s="890">
        <v>2500</v>
      </c>
      <c r="P101" s="891">
        <f t="shared" si="6"/>
        <v>7500</v>
      </c>
      <c r="Q101" s="892"/>
      <c r="R101" s="892"/>
      <c r="S101" s="857"/>
    </row>
    <row r="102" spans="1:19" s="864" customFormat="1" ht="23.25" customHeight="1">
      <c r="A102" s="863"/>
      <c r="C102" s="910" t="s">
        <v>694</v>
      </c>
      <c r="D102" s="917"/>
      <c r="E102" s="876"/>
      <c r="F102" s="876"/>
      <c r="G102" s="876"/>
      <c r="H102" s="876"/>
      <c r="I102" s="876"/>
      <c r="J102" s="1298"/>
      <c r="K102" s="878"/>
      <c r="L102" s="878"/>
      <c r="M102" s="878"/>
      <c r="N102" s="878"/>
      <c r="O102" s="878"/>
      <c r="P102" s="914">
        <f>SUM(P103:P115)</f>
        <v>10318700</v>
      </c>
      <c r="Q102" s="915"/>
      <c r="R102" s="915"/>
      <c r="S102" s="857"/>
    </row>
    <row r="103" spans="1:19" s="864" customFormat="1" ht="23.25" customHeight="1">
      <c r="A103" s="863"/>
      <c r="C103" s="886" t="s">
        <v>695</v>
      </c>
      <c r="D103" s="887"/>
      <c r="E103" s="878"/>
      <c r="F103" s="878"/>
      <c r="G103" s="878"/>
      <c r="H103" s="878"/>
      <c r="I103" s="878"/>
      <c r="J103" s="878"/>
      <c r="K103" s="878"/>
      <c r="L103" s="888">
        <v>1</v>
      </c>
      <c r="M103" s="861" t="s">
        <v>18</v>
      </c>
      <c r="N103" s="889"/>
      <c r="O103" s="890">
        <v>10000000</v>
      </c>
      <c r="P103" s="891">
        <f t="shared" ref="P103:P115" si="7">O103*L103</f>
        <v>10000000</v>
      </c>
      <c r="Q103" s="892"/>
      <c r="R103" s="892"/>
      <c r="S103" s="857"/>
    </row>
    <row r="104" spans="1:19" s="864" customFormat="1" ht="23.25" customHeight="1">
      <c r="A104" s="1189"/>
      <c r="B104" s="1190"/>
      <c r="C104" s="907" t="s">
        <v>696</v>
      </c>
      <c r="D104" s="887"/>
      <c r="E104" s="878"/>
      <c r="F104" s="878"/>
      <c r="G104" s="878"/>
      <c r="H104" s="878"/>
      <c r="I104" s="878"/>
      <c r="J104" s="878"/>
      <c r="K104" s="878"/>
      <c r="L104" s="888">
        <v>1</v>
      </c>
      <c r="M104" s="861" t="s">
        <v>18</v>
      </c>
      <c r="N104" s="889"/>
      <c r="O104" s="890">
        <v>50000</v>
      </c>
      <c r="P104" s="891">
        <f t="shared" si="7"/>
        <v>50000</v>
      </c>
      <c r="Q104" s="894"/>
      <c r="R104" s="894"/>
      <c r="S104" s="857"/>
    </row>
    <row r="105" spans="1:19" s="864" customFormat="1" ht="23.25" customHeight="1">
      <c r="A105" s="863"/>
      <c r="C105" s="907" t="s">
        <v>697</v>
      </c>
      <c r="D105" s="887"/>
      <c r="E105" s="878"/>
      <c r="F105" s="878"/>
      <c r="G105" s="878"/>
      <c r="H105" s="878"/>
      <c r="I105" s="878"/>
      <c r="J105" s="878"/>
      <c r="K105" s="878"/>
      <c r="L105" s="888">
        <v>1</v>
      </c>
      <c r="M105" s="861" t="s">
        <v>18</v>
      </c>
      <c r="N105" s="889"/>
      <c r="O105" s="890">
        <v>30000</v>
      </c>
      <c r="P105" s="891">
        <f t="shared" si="7"/>
        <v>30000</v>
      </c>
      <c r="Q105" s="894"/>
      <c r="R105" s="894"/>
      <c r="S105" s="857"/>
    </row>
    <row r="106" spans="1:19" s="864" customFormat="1" ht="23.25" customHeight="1">
      <c r="A106" s="863"/>
      <c r="C106" s="842" t="s">
        <v>698</v>
      </c>
      <c r="D106" s="901"/>
      <c r="E106" s="901"/>
      <c r="F106" s="901"/>
      <c r="G106" s="901"/>
      <c r="H106" s="901"/>
      <c r="I106" s="901"/>
      <c r="J106" s="901"/>
      <c r="K106" s="901"/>
      <c r="L106" s="905">
        <v>200</v>
      </c>
      <c r="M106" s="861" t="s">
        <v>19</v>
      </c>
      <c r="N106" s="889"/>
      <c r="O106" s="890">
        <v>70</v>
      </c>
      <c r="P106" s="891">
        <f t="shared" si="7"/>
        <v>14000</v>
      </c>
      <c r="Q106" s="894"/>
      <c r="R106" s="894"/>
      <c r="S106" s="857"/>
    </row>
    <row r="107" spans="1:19" s="864" customFormat="1" ht="23.25" customHeight="1">
      <c r="A107" s="863"/>
      <c r="C107" s="909" t="s">
        <v>699</v>
      </c>
      <c r="D107" s="887"/>
      <c r="E107" s="878"/>
      <c r="F107" s="878"/>
      <c r="G107" s="878"/>
      <c r="H107" s="878"/>
      <c r="I107" s="878"/>
      <c r="J107" s="878"/>
      <c r="K107" s="878"/>
      <c r="L107" s="888">
        <v>1</v>
      </c>
      <c r="M107" s="861" t="s">
        <v>637</v>
      </c>
      <c r="N107" s="889"/>
      <c r="O107" s="890">
        <v>20000</v>
      </c>
      <c r="P107" s="891">
        <f t="shared" si="7"/>
        <v>20000</v>
      </c>
      <c r="Q107" s="892"/>
      <c r="R107" s="892"/>
      <c r="S107" s="857"/>
    </row>
    <row r="108" spans="1:19" s="864" customFormat="1" ht="23.25" customHeight="1">
      <c r="A108" s="863"/>
      <c r="C108" s="909" t="s">
        <v>700</v>
      </c>
      <c r="D108" s="887"/>
      <c r="E108" s="878"/>
      <c r="F108" s="878"/>
      <c r="G108" s="878"/>
      <c r="H108" s="878"/>
      <c r="I108" s="878"/>
      <c r="J108" s="878"/>
      <c r="K108" s="878"/>
      <c r="L108" s="888">
        <v>2</v>
      </c>
      <c r="M108" s="861" t="s">
        <v>701</v>
      </c>
      <c r="N108" s="889"/>
      <c r="O108" s="890">
        <v>500</v>
      </c>
      <c r="P108" s="891">
        <f t="shared" si="7"/>
        <v>1000</v>
      </c>
      <c r="Q108" s="892"/>
      <c r="R108" s="892"/>
      <c r="S108" s="857"/>
    </row>
    <row r="109" spans="1:19" s="864" customFormat="1" ht="23.25" customHeight="1">
      <c r="A109" s="863"/>
      <c r="C109" s="909" t="s">
        <v>702</v>
      </c>
      <c r="D109" s="887"/>
      <c r="E109" s="878"/>
      <c r="F109" s="878"/>
      <c r="G109" s="878"/>
      <c r="H109" s="878"/>
      <c r="I109" s="878"/>
      <c r="J109" s="878"/>
      <c r="K109" s="878"/>
      <c r="L109" s="888">
        <v>100</v>
      </c>
      <c r="M109" s="861" t="s">
        <v>703</v>
      </c>
      <c r="N109" s="889"/>
      <c r="O109" s="890">
        <v>500</v>
      </c>
      <c r="P109" s="891">
        <f t="shared" si="7"/>
        <v>50000</v>
      </c>
      <c r="Q109" s="892"/>
      <c r="R109" s="892"/>
      <c r="S109" s="857"/>
    </row>
    <row r="110" spans="1:19" s="864" customFormat="1" ht="23.25" customHeight="1">
      <c r="A110" s="863"/>
      <c r="C110" s="909" t="s">
        <v>704</v>
      </c>
      <c r="D110" s="887"/>
      <c r="E110" s="878"/>
      <c r="F110" s="878"/>
      <c r="G110" s="878"/>
      <c r="H110" s="878"/>
      <c r="I110" s="878"/>
      <c r="J110" s="878"/>
      <c r="K110" s="878"/>
      <c r="L110" s="888">
        <v>1</v>
      </c>
      <c r="M110" s="861" t="s">
        <v>637</v>
      </c>
      <c r="N110" s="889"/>
      <c r="O110" s="890">
        <v>5000</v>
      </c>
      <c r="P110" s="891">
        <f t="shared" si="7"/>
        <v>5000</v>
      </c>
      <c r="Q110" s="892"/>
      <c r="R110" s="892"/>
      <c r="S110" s="857"/>
    </row>
    <row r="111" spans="1:19" s="864" customFormat="1" ht="23.25" customHeight="1">
      <c r="A111" s="863"/>
      <c r="C111" s="909" t="s">
        <v>705</v>
      </c>
      <c r="D111" s="887"/>
      <c r="E111" s="878"/>
      <c r="F111" s="878"/>
      <c r="G111" s="878"/>
      <c r="H111" s="878"/>
      <c r="I111" s="878"/>
      <c r="J111" s="878"/>
      <c r="K111" s="878"/>
      <c r="L111" s="888">
        <v>1</v>
      </c>
      <c r="M111" s="861" t="s">
        <v>637</v>
      </c>
      <c r="N111" s="889"/>
      <c r="O111" s="890">
        <v>10000</v>
      </c>
      <c r="P111" s="891">
        <f t="shared" si="7"/>
        <v>10000</v>
      </c>
      <c r="Q111" s="892"/>
      <c r="R111" s="892"/>
      <c r="S111" s="857"/>
    </row>
    <row r="112" spans="1:19" s="864" customFormat="1" ht="23.25" customHeight="1">
      <c r="A112" s="863"/>
      <c r="C112" s="909" t="s">
        <v>706</v>
      </c>
      <c r="D112" s="887"/>
      <c r="E112" s="878"/>
      <c r="F112" s="878"/>
      <c r="G112" s="878"/>
      <c r="H112" s="878"/>
      <c r="I112" s="878"/>
      <c r="J112" s="878"/>
      <c r="K112" s="878"/>
      <c r="L112" s="888">
        <v>1</v>
      </c>
      <c r="M112" s="861" t="s">
        <v>637</v>
      </c>
      <c r="N112" s="889"/>
      <c r="O112" s="890">
        <v>10000</v>
      </c>
      <c r="P112" s="891">
        <f t="shared" si="7"/>
        <v>10000</v>
      </c>
      <c r="Q112" s="892"/>
      <c r="R112" s="892"/>
      <c r="S112" s="857"/>
    </row>
    <row r="113" spans="1:19" s="864" customFormat="1" ht="23.25" customHeight="1">
      <c r="A113" s="863"/>
      <c r="C113" s="909" t="s">
        <v>707</v>
      </c>
      <c r="D113" s="887"/>
      <c r="E113" s="878"/>
      <c r="F113" s="878"/>
      <c r="G113" s="878"/>
      <c r="H113" s="878"/>
      <c r="I113" s="878"/>
      <c r="J113" s="878"/>
      <c r="K113" s="878"/>
      <c r="L113" s="888">
        <v>5</v>
      </c>
      <c r="M113" s="861" t="s">
        <v>361</v>
      </c>
      <c r="N113" s="889"/>
      <c r="O113" s="890">
        <v>240</v>
      </c>
      <c r="P113" s="891">
        <f t="shared" si="7"/>
        <v>1200</v>
      </c>
      <c r="Q113" s="892"/>
      <c r="R113" s="892"/>
      <c r="S113" s="857"/>
    </row>
    <row r="114" spans="1:19" s="864" customFormat="1" ht="23.25" customHeight="1">
      <c r="A114" s="863"/>
      <c r="C114" s="909" t="s">
        <v>708</v>
      </c>
      <c r="D114" s="887"/>
      <c r="E114" s="878"/>
      <c r="F114" s="878"/>
      <c r="G114" s="878"/>
      <c r="H114" s="878"/>
      <c r="I114" s="878"/>
      <c r="J114" s="878"/>
      <c r="K114" s="878"/>
      <c r="L114" s="888">
        <v>200</v>
      </c>
      <c r="M114" s="861" t="s">
        <v>361</v>
      </c>
      <c r="N114" s="889"/>
      <c r="O114" s="890">
        <v>600</v>
      </c>
      <c r="P114" s="891">
        <f t="shared" si="7"/>
        <v>120000</v>
      </c>
      <c r="Q114" s="892"/>
      <c r="R114" s="892"/>
      <c r="S114" s="857"/>
    </row>
    <row r="115" spans="1:19" s="864" customFormat="1" ht="23.25" customHeight="1">
      <c r="A115" s="863"/>
      <c r="C115" s="909" t="s">
        <v>709</v>
      </c>
      <c r="D115" s="887"/>
      <c r="E115" s="878"/>
      <c r="F115" s="878"/>
      <c r="G115" s="878"/>
      <c r="H115" s="878"/>
      <c r="I115" s="878"/>
      <c r="J115" s="878"/>
      <c r="K115" s="878"/>
      <c r="L115" s="888">
        <v>3</v>
      </c>
      <c r="M115" s="861" t="s">
        <v>658</v>
      </c>
      <c r="N115" s="889"/>
      <c r="O115" s="890">
        <v>2500</v>
      </c>
      <c r="P115" s="891">
        <f t="shared" si="7"/>
        <v>7500</v>
      </c>
      <c r="Q115" s="892"/>
      <c r="R115" s="892"/>
      <c r="S115" s="857"/>
    </row>
    <row r="116" spans="1:19" s="864" customFormat="1" ht="63.75" customHeight="1">
      <c r="A116" s="863"/>
      <c r="C116" s="1748" t="s">
        <v>1732</v>
      </c>
      <c r="D116" s="1749"/>
      <c r="E116" s="1749"/>
      <c r="F116" s="1749"/>
      <c r="G116" s="1749"/>
      <c r="H116" s="1749"/>
      <c r="I116" s="1749"/>
      <c r="J116" s="1749"/>
      <c r="K116" s="1750"/>
      <c r="L116" s="888"/>
      <c r="M116" s="861"/>
      <c r="N116" s="889"/>
      <c r="O116" s="890"/>
      <c r="P116" s="914">
        <f>SUM(P117:P118)</f>
        <v>190000</v>
      </c>
      <c r="Q116" s="915"/>
      <c r="R116" s="915"/>
      <c r="S116" s="857"/>
    </row>
    <row r="117" spans="1:19" s="864" customFormat="1" ht="23.25" customHeight="1">
      <c r="A117" s="863"/>
      <c r="C117" s="886" t="s">
        <v>710</v>
      </c>
      <c r="D117" s="887"/>
      <c r="E117" s="878"/>
      <c r="F117" s="878"/>
      <c r="G117" s="878"/>
      <c r="H117" s="878"/>
      <c r="I117" s="878"/>
      <c r="J117" s="878"/>
      <c r="K117" s="878"/>
      <c r="L117" s="888">
        <v>750</v>
      </c>
      <c r="M117" s="861" t="s">
        <v>711</v>
      </c>
      <c r="N117" s="889"/>
      <c r="O117" s="890">
        <v>250</v>
      </c>
      <c r="P117" s="891">
        <f>O117*L117</f>
        <v>187500</v>
      </c>
      <c r="Q117" s="892"/>
      <c r="R117" s="892"/>
      <c r="S117" s="857"/>
    </row>
    <row r="118" spans="1:19" s="864" customFormat="1" ht="23.25" customHeight="1">
      <c r="A118" s="863"/>
      <c r="C118" s="907" t="s">
        <v>712</v>
      </c>
      <c r="D118" s="887"/>
      <c r="E118" s="878"/>
      <c r="F118" s="878"/>
      <c r="G118" s="878"/>
      <c r="H118" s="878"/>
      <c r="I118" s="878"/>
      <c r="J118" s="878"/>
      <c r="K118" s="878"/>
      <c r="L118" s="888">
        <v>100</v>
      </c>
      <c r="M118" s="861" t="s">
        <v>19</v>
      </c>
      <c r="N118" s="889"/>
      <c r="O118" s="890">
        <v>25</v>
      </c>
      <c r="P118" s="891">
        <f>O118*L118</f>
        <v>2500</v>
      </c>
      <c r="Q118" s="894"/>
      <c r="R118" s="894"/>
      <c r="S118" s="857"/>
    </row>
    <row r="119" spans="1:19" s="864" customFormat="1" ht="23.25" customHeight="1">
      <c r="A119" s="863"/>
      <c r="C119" s="910" t="s">
        <v>713</v>
      </c>
      <c r="D119" s="1299"/>
      <c r="E119" s="878"/>
      <c r="F119" s="878"/>
      <c r="G119" s="878"/>
      <c r="H119" s="878"/>
      <c r="I119" s="878"/>
      <c r="J119" s="878"/>
      <c r="K119" s="878"/>
      <c r="L119" s="878"/>
      <c r="M119" s="878"/>
      <c r="N119" s="878"/>
      <c r="O119" s="878"/>
      <c r="P119" s="914">
        <f>SUM(P120:P123)</f>
        <v>28000</v>
      </c>
      <c r="Q119" s="915"/>
      <c r="R119" s="915"/>
      <c r="S119" s="857"/>
    </row>
    <row r="120" spans="1:19" s="864" customFormat="1" ht="23.25" customHeight="1">
      <c r="A120" s="863"/>
      <c r="C120" s="907" t="s">
        <v>714</v>
      </c>
      <c r="D120" s="887"/>
      <c r="E120" s="878"/>
      <c r="F120" s="878"/>
      <c r="G120" s="878"/>
      <c r="H120" s="878"/>
      <c r="I120" s="878"/>
      <c r="J120" s="878"/>
      <c r="K120" s="878"/>
      <c r="L120" s="888">
        <v>1</v>
      </c>
      <c r="M120" s="861"/>
      <c r="N120" s="889"/>
      <c r="O120" s="890">
        <v>5000</v>
      </c>
      <c r="P120" s="891">
        <f>O120*L120</f>
        <v>5000</v>
      </c>
      <c r="Q120" s="894"/>
      <c r="R120" s="894"/>
      <c r="S120" s="857"/>
    </row>
    <row r="121" spans="1:19" s="864" customFormat="1" ht="23.25" customHeight="1">
      <c r="A121" s="863"/>
      <c r="C121" s="907" t="s">
        <v>715</v>
      </c>
      <c r="D121" s="887"/>
      <c r="E121" s="878"/>
      <c r="F121" s="878"/>
      <c r="G121" s="878"/>
      <c r="H121" s="878"/>
      <c r="I121" s="878"/>
      <c r="J121" s="878"/>
      <c r="K121" s="878"/>
      <c r="L121" s="888">
        <v>1</v>
      </c>
      <c r="M121" s="861"/>
      <c r="N121" s="889"/>
      <c r="O121" s="890">
        <v>6000</v>
      </c>
      <c r="P121" s="891">
        <f>O121*L121</f>
        <v>6000</v>
      </c>
      <c r="Q121" s="894"/>
      <c r="R121" s="894"/>
      <c r="S121" s="857"/>
    </row>
    <row r="122" spans="1:19" s="864" customFormat="1" ht="23.25" customHeight="1">
      <c r="A122" s="863"/>
      <c r="C122" s="907" t="s">
        <v>716</v>
      </c>
      <c r="D122" s="887"/>
      <c r="E122" s="878"/>
      <c r="F122" s="878"/>
      <c r="G122" s="878"/>
      <c r="H122" s="878"/>
      <c r="I122" s="878"/>
      <c r="J122" s="878"/>
      <c r="K122" s="878"/>
      <c r="L122" s="888">
        <v>1</v>
      </c>
      <c r="M122" s="861"/>
      <c r="N122" s="889"/>
      <c r="O122" s="890">
        <v>8000</v>
      </c>
      <c r="P122" s="891">
        <f>O122*L122</f>
        <v>8000</v>
      </c>
      <c r="Q122" s="894"/>
      <c r="R122" s="894"/>
      <c r="S122" s="857"/>
    </row>
    <row r="123" spans="1:19" s="864" customFormat="1" ht="23.25" customHeight="1">
      <c r="A123" s="1189"/>
      <c r="B123" s="1190"/>
      <c r="C123" s="907" t="s">
        <v>717</v>
      </c>
      <c r="D123" s="887"/>
      <c r="E123" s="878"/>
      <c r="F123" s="878"/>
      <c r="G123" s="878"/>
      <c r="H123" s="878"/>
      <c r="I123" s="878"/>
      <c r="J123" s="878"/>
      <c r="K123" s="878"/>
      <c r="L123" s="888">
        <v>1</v>
      </c>
      <c r="M123" s="861"/>
      <c r="N123" s="889"/>
      <c r="O123" s="890">
        <v>9000</v>
      </c>
      <c r="P123" s="891">
        <f>O123*L123</f>
        <v>9000</v>
      </c>
      <c r="Q123" s="894"/>
      <c r="R123" s="894"/>
      <c r="S123" s="857"/>
    </row>
    <row r="124" spans="1:19" s="839" customFormat="1" ht="23.25" customHeight="1">
      <c r="C124" s="931"/>
      <c r="D124" s="560"/>
      <c r="E124" s="560"/>
      <c r="F124" s="560"/>
      <c r="G124" s="515"/>
      <c r="H124" s="515"/>
      <c r="I124" s="515"/>
      <c r="J124" s="515"/>
      <c r="K124" s="515"/>
      <c r="L124" s="932"/>
      <c r="M124" s="561"/>
      <c r="N124" s="515"/>
      <c r="O124" s="515"/>
      <c r="P124" s="515"/>
      <c r="Q124" s="515"/>
      <c r="R124" s="515"/>
      <c r="S124" s="696"/>
    </row>
    <row r="125" spans="1:19" s="839" customFormat="1" ht="23.25" customHeight="1">
      <c r="C125" s="933" t="s">
        <v>171</v>
      </c>
      <c r="D125" s="559" t="s">
        <v>172</v>
      </c>
      <c r="E125" s="559"/>
      <c r="F125" s="559"/>
      <c r="G125" s="515"/>
      <c r="H125" s="515"/>
      <c r="I125" s="515"/>
      <c r="J125" s="515"/>
      <c r="K125" s="515"/>
      <c r="L125" s="932"/>
      <c r="M125" s="561"/>
      <c r="N125" s="515"/>
      <c r="O125" s="515"/>
      <c r="P125" s="515"/>
      <c r="Q125" s="515"/>
      <c r="R125" s="515"/>
      <c r="S125" s="696"/>
    </row>
    <row r="126" spans="1:19" s="839" customFormat="1" ht="23.25" customHeight="1">
      <c r="D126" s="839" t="s">
        <v>466</v>
      </c>
      <c r="L126" s="934"/>
      <c r="M126" s="935"/>
    </row>
  </sheetData>
  <mergeCells count="25">
    <mergeCell ref="C116:K116"/>
    <mergeCell ref="C94:K94"/>
    <mergeCell ref="S31:S34"/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10"/>
    <mergeCell ref="P7:P8"/>
    <mergeCell ref="H7:H8"/>
    <mergeCell ref="O7:O9"/>
    <mergeCell ref="I7:K8"/>
    <mergeCell ref="L7:L9"/>
    <mergeCell ref="M7:M9"/>
    <mergeCell ref="N7:N9"/>
    <mergeCell ref="S57:S64"/>
    <mergeCell ref="S15:S21"/>
    <mergeCell ref="S22:S30"/>
    <mergeCell ref="S35:S44"/>
    <mergeCell ref="S45:S49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&amp;C&amp;P/5</oddFooter>
  </headerFooter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02"/>
  <sheetViews>
    <sheetView zoomScale="90" zoomScaleNormal="90" zoomScaleSheetLayoutView="90" workbookViewId="0">
      <selection activeCell="P15" sqref="P15"/>
    </sheetView>
  </sheetViews>
  <sheetFormatPr defaultRowHeight="18.75"/>
  <cols>
    <col min="1" max="1" width="4.375" style="1" customWidth="1"/>
    <col min="2" max="2" width="4.5" style="1" customWidth="1"/>
    <col min="3" max="3" width="35" style="1" customWidth="1"/>
    <col min="4" max="4" width="6.75" style="1" customWidth="1"/>
    <col min="5" max="7" width="6.625" style="1" customWidth="1"/>
    <col min="8" max="8" width="8.125" style="1" customWidth="1"/>
    <col min="9" max="11" width="5.375" style="1" customWidth="1"/>
    <col min="12" max="12" width="7.75" style="1" customWidth="1"/>
    <col min="13" max="13" width="8.375" style="1" customWidth="1"/>
    <col min="14" max="14" width="7.25" style="1" customWidth="1"/>
    <col min="15" max="15" width="7.875" style="1" customWidth="1"/>
    <col min="16" max="16" width="9.25" style="377" customWidth="1"/>
    <col min="17" max="17" width="6.875" style="1" customWidth="1"/>
    <col min="18" max="18" width="6.75" style="1" customWidth="1"/>
    <col min="19" max="19" width="28.125" style="1" customWidth="1"/>
    <col min="20" max="16384" width="9" style="1"/>
  </cols>
  <sheetData>
    <row r="1" spans="1:20" ht="24.75">
      <c r="A1" s="1772" t="s">
        <v>1561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  <c r="L1" s="1772"/>
      <c r="M1" s="1772"/>
      <c r="N1" s="1772"/>
      <c r="O1" s="1772"/>
      <c r="P1" s="1772"/>
      <c r="Q1" s="1772"/>
      <c r="R1" s="1772"/>
      <c r="S1" s="1772"/>
    </row>
    <row r="2" spans="1:20" ht="24.75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"/>
    </row>
    <row r="3" spans="1:20" s="39" customFormat="1" ht="21.75">
      <c r="A3" s="105" t="s">
        <v>0</v>
      </c>
      <c r="C3" s="40"/>
      <c r="D3" s="40"/>
      <c r="E3" s="40"/>
      <c r="F3" s="40"/>
      <c r="P3" s="376"/>
    </row>
    <row r="4" spans="1:20" s="39" customFormat="1" ht="21.75">
      <c r="A4" s="287" t="s">
        <v>1</v>
      </c>
      <c r="C4" s="40"/>
      <c r="P4" s="376"/>
    </row>
    <row r="5" spans="1:20">
      <c r="S5" s="83" t="s">
        <v>254</v>
      </c>
    </row>
    <row r="6" spans="1:20" s="378" customFormat="1" ht="17.25" customHeight="1">
      <c r="A6" s="1587" t="s">
        <v>87</v>
      </c>
      <c r="B6" s="1588"/>
      <c r="C6" s="1577" t="s">
        <v>88</v>
      </c>
      <c r="D6" s="1612" t="s">
        <v>15</v>
      </c>
      <c r="E6" s="1613"/>
      <c r="F6" s="1612" t="s">
        <v>28</v>
      </c>
      <c r="G6" s="1613"/>
      <c r="H6" s="1616" t="s">
        <v>63</v>
      </c>
      <c r="I6" s="1616"/>
      <c r="J6" s="1616"/>
      <c r="K6" s="1616"/>
      <c r="L6" s="1616"/>
      <c r="M6" s="1616"/>
      <c r="N6" s="1616"/>
      <c r="O6" s="1616"/>
      <c r="P6" s="1616"/>
      <c r="Q6" s="1577" t="s">
        <v>89</v>
      </c>
      <c r="R6" s="1577" t="s">
        <v>90</v>
      </c>
      <c r="S6" s="1577" t="s">
        <v>91</v>
      </c>
    </row>
    <row r="7" spans="1:20" s="378" customFormat="1" ht="17.25" customHeight="1">
      <c r="A7" s="1753"/>
      <c r="B7" s="1754"/>
      <c r="C7" s="1583"/>
      <c r="D7" s="1614"/>
      <c r="E7" s="1615"/>
      <c r="F7" s="1614"/>
      <c r="G7" s="1615"/>
      <c r="H7" s="1619" t="s">
        <v>76</v>
      </c>
      <c r="I7" s="1619" t="s">
        <v>77</v>
      </c>
      <c r="J7" s="1619"/>
      <c r="K7" s="1619"/>
      <c r="L7" s="1583" t="s">
        <v>175</v>
      </c>
      <c r="M7" s="1583" t="s">
        <v>92</v>
      </c>
      <c r="N7" s="1583" t="s">
        <v>93</v>
      </c>
      <c r="O7" s="1583" t="s">
        <v>94</v>
      </c>
      <c r="P7" s="1774" t="s">
        <v>718</v>
      </c>
      <c r="Q7" s="1583"/>
      <c r="R7" s="1583"/>
      <c r="S7" s="1583"/>
    </row>
    <row r="8" spans="1:20" s="378" customFormat="1" ht="17.25" customHeight="1">
      <c r="A8" s="1753"/>
      <c r="B8" s="1754"/>
      <c r="C8" s="1583"/>
      <c r="D8" s="88" t="s">
        <v>4</v>
      </c>
      <c r="E8" s="88" t="s">
        <v>5</v>
      </c>
      <c r="F8" s="88" t="s">
        <v>4</v>
      </c>
      <c r="G8" s="88" t="s">
        <v>6</v>
      </c>
      <c r="H8" s="1619"/>
      <c r="I8" s="1619"/>
      <c r="J8" s="1619"/>
      <c r="K8" s="1619"/>
      <c r="L8" s="1583" t="s">
        <v>95</v>
      </c>
      <c r="M8" s="1583"/>
      <c r="N8" s="1583"/>
      <c r="O8" s="1583"/>
      <c r="P8" s="1774"/>
      <c r="Q8" s="1583"/>
      <c r="R8" s="1583"/>
      <c r="S8" s="1583"/>
    </row>
    <row r="9" spans="1:20" s="378" customFormat="1" ht="17.25" customHeight="1">
      <c r="A9" s="1589"/>
      <c r="B9" s="1590"/>
      <c r="C9" s="1583"/>
      <c r="D9" s="88"/>
      <c r="E9" s="88"/>
      <c r="F9" s="88"/>
      <c r="G9" s="88"/>
      <c r="H9" s="1619"/>
      <c r="I9" s="1619"/>
      <c r="J9" s="1619"/>
      <c r="K9" s="1619"/>
      <c r="L9" s="1583" t="s">
        <v>255</v>
      </c>
      <c r="M9" s="1583"/>
      <c r="N9" s="1583"/>
      <c r="O9" s="1583"/>
      <c r="P9" s="1774"/>
      <c r="Q9" s="1583"/>
      <c r="R9" s="1583"/>
      <c r="S9" s="1583"/>
    </row>
    <row r="10" spans="1:20" s="378" customFormat="1" ht="17.25" customHeight="1">
      <c r="A10" s="86" t="s">
        <v>96</v>
      </c>
      <c r="B10" s="86" t="s">
        <v>97</v>
      </c>
      <c r="C10" s="379"/>
      <c r="D10" s="203"/>
      <c r="E10" s="203"/>
      <c r="F10" s="203"/>
      <c r="G10" s="76"/>
      <c r="H10" s="1619"/>
      <c r="I10" s="11" t="s">
        <v>78</v>
      </c>
      <c r="J10" s="11" t="s">
        <v>79</v>
      </c>
      <c r="K10" s="11" t="s">
        <v>80</v>
      </c>
      <c r="L10" s="1578" t="s">
        <v>719</v>
      </c>
      <c r="M10" s="1578"/>
      <c r="N10" s="1578"/>
      <c r="O10" s="1578"/>
      <c r="P10" s="1775"/>
      <c r="Q10" s="76"/>
      <c r="R10" s="76"/>
      <c r="S10" s="1578"/>
    </row>
    <row r="11" spans="1:20" s="383" customFormat="1" ht="16.5" thickBot="1">
      <c r="A11" s="93"/>
      <c r="B11" s="93"/>
      <c r="C11" s="93" t="s">
        <v>11</v>
      </c>
      <c r="D11" s="93"/>
      <c r="E11" s="93"/>
      <c r="F11" s="93"/>
      <c r="G11" s="380"/>
      <c r="H11" s="380"/>
      <c r="I11" s="380"/>
      <c r="J11" s="380"/>
      <c r="K11" s="380"/>
      <c r="L11" s="380"/>
      <c r="M11" s="380"/>
      <c r="N11" s="380"/>
      <c r="O11" s="380"/>
      <c r="P11" s="381">
        <f>P16+P32+P42+P54+P66+P70+P76+P91</f>
        <v>23655350</v>
      </c>
      <c r="Q11" s="382"/>
      <c r="R11" s="382"/>
      <c r="S11" s="380"/>
    </row>
    <row r="12" spans="1:20" s="105" customFormat="1" ht="21" customHeight="1" thickTop="1">
      <c r="A12" s="477"/>
      <c r="B12" s="477"/>
      <c r="C12" s="478" t="s">
        <v>854</v>
      </c>
      <c r="D12" s="208"/>
      <c r="E12" s="208"/>
      <c r="F12" s="208"/>
      <c r="G12" s="477"/>
      <c r="H12" s="477"/>
      <c r="I12" s="477"/>
      <c r="J12" s="477"/>
      <c r="K12" s="477"/>
      <c r="L12" s="208"/>
      <c r="M12" s="477"/>
      <c r="N12" s="208"/>
      <c r="O12" s="477"/>
      <c r="P12" s="715"/>
      <c r="Q12" s="479"/>
      <c r="R12" s="479"/>
      <c r="S12" s="104"/>
      <c r="T12" s="707"/>
    </row>
    <row r="13" spans="1:20" s="39" customFormat="1" ht="21" customHeight="1">
      <c r="A13" s="198"/>
      <c r="B13" s="198"/>
      <c r="C13" s="699" t="s">
        <v>831</v>
      </c>
      <c r="D13" s="54"/>
      <c r="E13" s="54"/>
      <c r="F13" s="54"/>
      <c r="G13" s="54"/>
      <c r="H13" s="54"/>
      <c r="I13" s="54"/>
      <c r="J13" s="54"/>
      <c r="K13" s="54"/>
      <c r="L13" s="481"/>
      <c r="M13" s="482"/>
      <c r="N13" s="481"/>
      <c r="O13" s="482"/>
      <c r="P13" s="716"/>
      <c r="Q13" s="215"/>
      <c r="R13" s="215"/>
      <c r="S13" s="54"/>
      <c r="T13" s="708"/>
    </row>
    <row r="14" spans="1:20" s="569" customFormat="1" ht="19.5" customHeight="1">
      <c r="A14" s="568"/>
      <c r="C14" s="570" t="s">
        <v>842</v>
      </c>
      <c r="D14" s="571"/>
      <c r="E14" s="571"/>
      <c r="F14" s="571"/>
      <c r="G14" s="571"/>
      <c r="H14" s="571"/>
      <c r="I14" s="571"/>
      <c r="J14" s="571"/>
      <c r="K14" s="571"/>
      <c r="L14" s="572"/>
      <c r="M14" s="572"/>
      <c r="N14" s="572"/>
      <c r="O14" s="572"/>
      <c r="P14" s="719"/>
      <c r="Q14" s="571"/>
      <c r="R14" s="574"/>
      <c r="S14" s="571"/>
      <c r="T14" s="709"/>
    </row>
    <row r="15" spans="1:20" s="569" customFormat="1" ht="23.25" customHeight="1">
      <c r="A15" s="568"/>
      <c r="C15" s="576" t="s">
        <v>843</v>
      </c>
      <c r="D15" s="571"/>
      <c r="E15" s="571"/>
      <c r="F15" s="571"/>
      <c r="G15" s="571"/>
      <c r="H15" s="571"/>
      <c r="I15" s="571"/>
      <c r="J15" s="571"/>
      <c r="K15" s="571"/>
      <c r="L15" s="572"/>
      <c r="M15" s="572"/>
      <c r="N15" s="572"/>
      <c r="O15" s="572"/>
      <c r="P15" s="720"/>
      <c r="Q15" s="577"/>
      <c r="R15" s="571"/>
      <c r="S15" s="571"/>
      <c r="T15" s="709"/>
    </row>
    <row r="16" spans="1:20" ht="17.25" customHeight="1">
      <c r="A16" s="299"/>
      <c r="B16" s="286"/>
      <c r="C16" s="385" t="s">
        <v>874</v>
      </c>
      <c r="D16" s="385"/>
      <c r="E16" s="385"/>
      <c r="F16" s="385"/>
      <c r="G16" s="108"/>
      <c r="H16" s="108"/>
      <c r="I16" s="108"/>
      <c r="J16" s="108"/>
      <c r="K16" s="108"/>
      <c r="L16" s="108"/>
      <c r="M16" s="108"/>
      <c r="N16" s="108"/>
      <c r="O16" s="108"/>
      <c r="P16" s="386">
        <f>SUM(P19:P31)</f>
        <v>7300000</v>
      </c>
      <c r="Q16" s="385"/>
      <c r="R16" s="385"/>
      <c r="S16" s="185" t="s">
        <v>178</v>
      </c>
    </row>
    <row r="17" spans="1:19" ht="17.25" customHeight="1">
      <c r="A17" s="299"/>
      <c r="B17" s="286"/>
      <c r="C17" s="385" t="s">
        <v>12</v>
      </c>
      <c r="D17" s="385"/>
      <c r="E17" s="385"/>
      <c r="F17" s="385"/>
      <c r="G17" s="108"/>
      <c r="H17" s="108"/>
      <c r="I17" s="108"/>
      <c r="J17" s="108"/>
      <c r="K17" s="108"/>
      <c r="L17" s="108"/>
      <c r="M17" s="108"/>
      <c r="N17" s="108"/>
      <c r="O17" s="108"/>
      <c r="P17" s="384"/>
      <c r="Q17" s="385"/>
      <c r="R17" s="385"/>
      <c r="S17" s="385"/>
    </row>
    <row r="18" spans="1:19" ht="17.25" customHeight="1">
      <c r="A18" s="299"/>
      <c r="B18" s="286"/>
      <c r="C18" s="388" t="s">
        <v>720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384"/>
      <c r="Q18" s="72"/>
      <c r="R18" s="72"/>
      <c r="S18" s="72" t="s">
        <v>721</v>
      </c>
    </row>
    <row r="19" spans="1:19" ht="17.25" customHeight="1">
      <c r="A19" s="299"/>
      <c r="B19" s="286"/>
      <c r="C19" s="112" t="s">
        <v>102</v>
      </c>
      <c r="D19" s="108"/>
      <c r="E19" s="108"/>
      <c r="F19" s="108"/>
      <c r="G19" s="108"/>
      <c r="H19" s="353" t="s">
        <v>81</v>
      </c>
      <c r="I19" s="108"/>
      <c r="J19" s="354" t="s">
        <v>104</v>
      </c>
      <c r="K19" s="108"/>
      <c r="L19" s="389">
        <v>1</v>
      </c>
      <c r="M19" s="74">
        <v>15</v>
      </c>
      <c r="N19" s="389">
        <v>6</v>
      </c>
      <c r="O19" s="390">
        <v>130000</v>
      </c>
      <c r="P19" s="391">
        <f>(O19*N19*L19)</f>
        <v>780000</v>
      </c>
      <c r="Q19" s="392"/>
      <c r="R19" s="392"/>
      <c r="S19" s="72" t="s">
        <v>722</v>
      </c>
    </row>
    <row r="20" spans="1:19" ht="17.25" customHeight="1">
      <c r="A20" s="299"/>
      <c r="B20" s="286"/>
      <c r="C20" s="112" t="s">
        <v>723</v>
      </c>
      <c r="D20" s="108"/>
      <c r="E20" s="108"/>
      <c r="F20" s="108"/>
      <c r="G20" s="108"/>
      <c r="H20" s="353" t="s">
        <v>81</v>
      </c>
      <c r="I20" s="108"/>
      <c r="J20" s="354" t="s">
        <v>104</v>
      </c>
      <c r="K20" s="108"/>
      <c r="L20" s="393">
        <v>1</v>
      </c>
      <c r="M20" s="74">
        <v>10</v>
      </c>
      <c r="N20" s="389">
        <v>4</v>
      </c>
      <c r="O20" s="390">
        <v>100000</v>
      </c>
      <c r="P20" s="391">
        <f>(O20*N20*L20)</f>
        <v>400000</v>
      </c>
      <c r="Q20" s="392"/>
      <c r="R20" s="392"/>
      <c r="S20" s="72" t="s">
        <v>724</v>
      </c>
    </row>
    <row r="21" spans="1:19" ht="17.25" customHeight="1">
      <c r="A21" s="299"/>
      <c r="B21" s="286"/>
      <c r="C21" s="112" t="s">
        <v>725</v>
      </c>
      <c r="D21" s="108"/>
      <c r="E21" s="108"/>
      <c r="F21" s="108"/>
      <c r="G21" s="108"/>
      <c r="H21" s="353" t="s">
        <v>726</v>
      </c>
      <c r="I21" s="108"/>
      <c r="J21" s="354" t="s">
        <v>104</v>
      </c>
      <c r="K21" s="108"/>
      <c r="L21" s="393">
        <v>1</v>
      </c>
      <c r="M21" s="74">
        <v>10</v>
      </c>
      <c r="N21" s="389">
        <v>4</v>
      </c>
      <c r="O21" s="390">
        <v>100000</v>
      </c>
      <c r="P21" s="391">
        <f t="shared" ref="P21" si="0">(O21*N21*L21)</f>
        <v>400000</v>
      </c>
      <c r="Q21" s="392"/>
      <c r="R21" s="392"/>
      <c r="S21" s="72" t="s">
        <v>727</v>
      </c>
    </row>
    <row r="22" spans="1:19" ht="17.25" customHeight="1">
      <c r="A22" s="299"/>
      <c r="B22" s="286"/>
      <c r="C22" s="112" t="s">
        <v>728</v>
      </c>
      <c r="D22" s="108"/>
      <c r="E22" s="108"/>
      <c r="F22" s="108"/>
      <c r="G22" s="108"/>
      <c r="H22" s="353" t="s">
        <v>729</v>
      </c>
      <c r="I22" s="108"/>
      <c r="J22" s="354" t="s">
        <v>104</v>
      </c>
      <c r="K22" s="108"/>
      <c r="L22" s="393">
        <v>1</v>
      </c>
      <c r="M22" s="74">
        <v>7</v>
      </c>
      <c r="N22" s="389">
        <v>4</v>
      </c>
      <c r="O22" s="390">
        <v>80000</v>
      </c>
      <c r="P22" s="391">
        <f t="shared" ref="P22:P31" si="1">(O22*N22*L22)</f>
        <v>320000</v>
      </c>
      <c r="Q22" s="392"/>
      <c r="R22" s="392"/>
      <c r="S22" s="72" t="s">
        <v>730</v>
      </c>
    </row>
    <row r="23" spans="1:19" ht="17.25" customHeight="1">
      <c r="A23" s="299"/>
      <c r="B23" s="286"/>
      <c r="C23" s="112" t="s">
        <v>731</v>
      </c>
      <c r="D23" s="108"/>
      <c r="E23" s="108"/>
      <c r="F23" s="108"/>
      <c r="G23" s="108"/>
      <c r="H23" s="353" t="s">
        <v>81</v>
      </c>
      <c r="I23" s="108"/>
      <c r="J23" s="354" t="s">
        <v>104</v>
      </c>
      <c r="K23" s="108"/>
      <c r="L23" s="393">
        <v>1</v>
      </c>
      <c r="M23" s="74">
        <v>7</v>
      </c>
      <c r="N23" s="389">
        <v>4</v>
      </c>
      <c r="O23" s="390">
        <v>80000</v>
      </c>
      <c r="P23" s="391">
        <f t="shared" si="1"/>
        <v>320000</v>
      </c>
      <c r="Q23" s="392"/>
      <c r="R23" s="392"/>
      <c r="S23" s="72" t="s">
        <v>732</v>
      </c>
    </row>
    <row r="24" spans="1:19" ht="17.25" customHeight="1">
      <c r="A24" s="299"/>
      <c r="B24" s="286"/>
      <c r="C24" s="112" t="s">
        <v>733</v>
      </c>
      <c r="D24" s="108"/>
      <c r="E24" s="108"/>
      <c r="F24" s="108"/>
      <c r="G24" s="108"/>
      <c r="H24" s="353" t="s">
        <v>81</v>
      </c>
      <c r="I24" s="108"/>
      <c r="J24" s="354" t="s">
        <v>104</v>
      </c>
      <c r="K24" s="108"/>
      <c r="L24" s="393">
        <v>1</v>
      </c>
      <c r="M24" s="74">
        <v>7</v>
      </c>
      <c r="N24" s="389">
        <v>4</v>
      </c>
      <c r="O24" s="390">
        <v>80000</v>
      </c>
      <c r="P24" s="391">
        <f t="shared" si="1"/>
        <v>320000</v>
      </c>
      <c r="Q24" s="392"/>
      <c r="R24" s="392"/>
      <c r="S24" s="72" t="s">
        <v>734</v>
      </c>
    </row>
    <row r="25" spans="1:19" ht="17.25" customHeight="1">
      <c r="A25" s="299"/>
      <c r="B25" s="286"/>
      <c r="C25" s="112" t="s">
        <v>735</v>
      </c>
      <c r="D25" s="108"/>
      <c r="E25" s="108"/>
      <c r="F25" s="108"/>
      <c r="G25" s="108"/>
      <c r="H25" s="353" t="s">
        <v>600</v>
      </c>
      <c r="I25" s="108"/>
      <c r="J25" s="354" t="s">
        <v>104</v>
      </c>
      <c r="K25" s="108"/>
      <c r="L25" s="393">
        <v>1</v>
      </c>
      <c r="M25" s="74">
        <v>10</v>
      </c>
      <c r="N25" s="389">
        <v>6</v>
      </c>
      <c r="O25" s="390">
        <v>100000</v>
      </c>
      <c r="P25" s="391">
        <f t="shared" si="1"/>
        <v>600000</v>
      </c>
      <c r="Q25" s="392"/>
      <c r="R25" s="392"/>
      <c r="S25" s="72" t="s">
        <v>736</v>
      </c>
    </row>
    <row r="26" spans="1:19" ht="17.25" customHeight="1">
      <c r="A26" s="302"/>
      <c r="B26" s="303"/>
      <c r="C26" s="112" t="s">
        <v>737</v>
      </c>
      <c r="D26" s="108"/>
      <c r="E26" s="108"/>
      <c r="F26" s="108"/>
      <c r="G26" s="108"/>
      <c r="H26" s="353" t="s">
        <v>81</v>
      </c>
      <c r="I26" s="108"/>
      <c r="J26" s="354" t="s">
        <v>104</v>
      </c>
      <c r="K26" s="108"/>
      <c r="L26" s="393">
        <v>1</v>
      </c>
      <c r="M26" s="74">
        <v>7</v>
      </c>
      <c r="N26" s="389">
        <v>4</v>
      </c>
      <c r="O26" s="390">
        <v>80000</v>
      </c>
      <c r="P26" s="391">
        <f t="shared" si="1"/>
        <v>320000</v>
      </c>
      <c r="Q26" s="392"/>
      <c r="R26" s="392"/>
      <c r="S26" s="72" t="s">
        <v>738</v>
      </c>
    </row>
    <row r="27" spans="1:19" ht="17.25" customHeight="1">
      <c r="A27" s="302"/>
      <c r="B27" s="303"/>
      <c r="C27" s="112" t="s">
        <v>739</v>
      </c>
      <c r="D27" s="108"/>
      <c r="E27" s="108"/>
      <c r="F27" s="108"/>
      <c r="G27" s="108"/>
      <c r="H27" s="353" t="s">
        <v>726</v>
      </c>
      <c r="I27" s="354" t="s">
        <v>104</v>
      </c>
      <c r="J27" s="108"/>
      <c r="K27" s="108"/>
      <c r="L27" s="393">
        <v>1</v>
      </c>
      <c r="M27" s="74">
        <v>5</v>
      </c>
      <c r="N27" s="389">
        <v>4</v>
      </c>
      <c r="O27" s="390">
        <v>50000</v>
      </c>
      <c r="P27" s="391">
        <f t="shared" si="1"/>
        <v>200000</v>
      </c>
      <c r="Q27" s="392"/>
      <c r="R27" s="392"/>
      <c r="S27" s="72" t="s">
        <v>740</v>
      </c>
    </row>
    <row r="28" spans="1:19" ht="17.25" customHeight="1">
      <c r="A28" s="302"/>
      <c r="B28" s="303"/>
      <c r="C28" s="112" t="s">
        <v>108</v>
      </c>
      <c r="D28" s="108"/>
      <c r="E28" s="108"/>
      <c r="F28" s="108"/>
      <c r="G28" s="108"/>
      <c r="H28" s="353" t="s">
        <v>103</v>
      </c>
      <c r="I28" s="354" t="s">
        <v>104</v>
      </c>
      <c r="J28" s="108"/>
      <c r="K28" s="108"/>
      <c r="L28" s="393">
        <v>2</v>
      </c>
      <c r="M28" s="74">
        <v>5</v>
      </c>
      <c r="N28" s="389">
        <v>4</v>
      </c>
      <c r="O28" s="390">
        <v>50000</v>
      </c>
      <c r="P28" s="391">
        <f t="shared" si="1"/>
        <v>400000</v>
      </c>
      <c r="Q28" s="392"/>
      <c r="R28" s="392"/>
      <c r="S28" s="72" t="s">
        <v>741</v>
      </c>
    </row>
    <row r="29" spans="1:19" ht="17.25" customHeight="1">
      <c r="A29" s="299"/>
      <c r="B29" s="286"/>
      <c r="C29" s="112" t="s">
        <v>742</v>
      </c>
      <c r="D29" s="108"/>
      <c r="E29" s="108"/>
      <c r="F29" s="108"/>
      <c r="G29" s="108"/>
      <c r="H29" s="353" t="s">
        <v>81</v>
      </c>
      <c r="I29" s="354" t="s">
        <v>104</v>
      </c>
      <c r="J29" s="108"/>
      <c r="K29" s="108"/>
      <c r="L29" s="394">
        <v>5</v>
      </c>
      <c r="M29" s="74">
        <v>2</v>
      </c>
      <c r="N29" s="395">
        <v>9</v>
      </c>
      <c r="O29" s="390">
        <v>30000</v>
      </c>
      <c r="P29" s="391">
        <f t="shared" si="1"/>
        <v>1350000</v>
      </c>
      <c r="Q29" s="392"/>
      <c r="R29" s="392"/>
      <c r="S29" s="72" t="s">
        <v>743</v>
      </c>
    </row>
    <row r="30" spans="1:19" ht="17.25" customHeight="1">
      <c r="A30" s="299"/>
      <c r="B30" s="286"/>
      <c r="C30" s="112" t="s">
        <v>744</v>
      </c>
      <c r="D30" s="108"/>
      <c r="E30" s="108"/>
      <c r="F30" s="108"/>
      <c r="G30" s="108"/>
      <c r="H30" s="353" t="s">
        <v>81</v>
      </c>
      <c r="I30" s="354" t="s">
        <v>104</v>
      </c>
      <c r="J30" s="108"/>
      <c r="K30" s="108"/>
      <c r="L30" s="393">
        <v>5</v>
      </c>
      <c r="M30" s="74">
        <v>3</v>
      </c>
      <c r="N30" s="389">
        <v>9</v>
      </c>
      <c r="O30" s="390">
        <v>30000</v>
      </c>
      <c r="P30" s="391">
        <f t="shared" si="1"/>
        <v>1350000</v>
      </c>
      <c r="Q30" s="392"/>
      <c r="R30" s="392"/>
      <c r="S30" s="72" t="s">
        <v>745</v>
      </c>
    </row>
    <row r="31" spans="1:19" ht="17.25" customHeight="1">
      <c r="A31" s="299"/>
      <c r="B31" s="286"/>
      <c r="C31" s="112" t="s">
        <v>746</v>
      </c>
      <c r="D31" s="108"/>
      <c r="E31" s="108"/>
      <c r="F31" s="108"/>
      <c r="G31" s="108"/>
      <c r="H31" s="353" t="s">
        <v>81</v>
      </c>
      <c r="I31" s="354" t="s">
        <v>104</v>
      </c>
      <c r="J31" s="108"/>
      <c r="K31" s="108"/>
      <c r="L31" s="393">
        <v>2</v>
      </c>
      <c r="M31" s="74">
        <v>2</v>
      </c>
      <c r="N31" s="389">
        <v>9</v>
      </c>
      <c r="O31" s="390">
        <v>30000</v>
      </c>
      <c r="P31" s="391">
        <f t="shared" si="1"/>
        <v>540000</v>
      </c>
      <c r="Q31" s="392"/>
      <c r="R31" s="392"/>
      <c r="S31" s="72" t="s">
        <v>747</v>
      </c>
    </row>
    <row r="32" spans="1:19" ht="17.25" customHeight="1">
      <c r="A32" s="302"/>
      <c r="B32" s="302"/>
      <c r="C32" s="385" t="s">
        <v>748</v>
      </c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108"/>
      <c r="O32" s="108"/>
      <c r="P32" s="386">
        <f>SUM(P33:P41)</f>
        <v>1321100</v>
      </c>
      <c r="Q32" s="385"/>
      <c r="R32" s="385"/>
      <c r="S32" s="387"/>
    </row>
    <row r="33" spans="1:19" ht="17.25" customHeight="1">
      <c r="A33" s="302"/>
      <c r="B33" s="302"/>
      <c r="C33" s="1408" t="s">
        <v>749</v>
      </c>
      <c r="D33" s="115"/>
      <c r="E33" s="108"/>
      <c r="F33" s="108"/>
      <c r="G33" s="108"/>
      <c r="H33" s="108"/>
      <c r="I33" s="108"/>
      <c r="J33" s="108"/>
      <c r="K33" s="108"/>
      <c r="L33" s="72">
        <f>7*3*15</f>
        <v>315</v>
      </c>
      <c r="M33" s="74" t="s">
        <v>614</v>
      </c>
      <c r="N33" s="108"/>
      <c r="O33" s="391">
        <v>240</v>
      </c>
      <c r="P33" s="391">
        <f>L33*O33</f>
        <v>75600</v>
      </c>
      <c r="Q33" s="392"/>
      <c r="R33" s="392"/>
      <c r="S33" s="387"/>
    </row>
    <row r="34" spans="1:19" ht="17.25" customHeight="1">
      <c r="A34" s="302"/>
      <c r="B34" s="302"/>
      <c r="C34" s="1408" t="s">
        <v>750</v>
      </c>
      <c r="D34" s="108"/>
      <c r="E34" s="108"/>
      <c r="F34" s="108"/>
      <c r="G34" s="108"/>
      <c r="H34" s="108"/>
      <c r="I34" s="108"/>
      <c r="J34" s="108"/>
      <c r="K34" s="108"/>
      <c r="L34" s="72">
        <f>7*3*15</f>
        <v>315</v>
      </c>
      <c r="M34" s="74" t="s">
        <v>614</v>
      </c>
      <c r="N34" s="108"/>
      <c r="O34" s="391">
        <v>1200</v>
      </c>
      <c r="P34" s="391">
        <f>L34*O34</f>
        <v>378000</v>
      </c>
      <c r="Q34" s="392"/>
      <c r="R34" s="392"/>
      <c r="S34" s="72"/>
    </row>
    <row r="35" spans="1:19" ht="17.25" customHeight="1">
      <c r="A35" s="302"/>
      <c r="B35" s="302"/>
      <c r="C35" s="1408" t="s">
        <v>751</v>
      </c>
      <c r="D35" s="108"/>
      <c r="E35" s="108"/>
      <c r="F35" s="108"/>
      <c r="G35" s="108"/>
      <c r="H35" s="108"/>
      <c r="I35" s="108"/>
      <c r="J35" s="108"/>
      <c r="K35" s="108"/>
      <c r="L35" s="72">
        <f>7*3</f>
        <v>21</v>
      </c>
      <c r="M35" s="74" t="s">
        <v>669</v>
      </c>
      <c r="N35" s="108"/>
      <c r="O35" s="391">
        <v>5000</v>
      </c>
      <c r="P35" s="391">
        <f>L35*O35</f>
        <v>105000</v>
      </c>
      <c r="Q35" s="392"/>
      <c r="R35" s="392"/>
      <c r="S35" s="72"/>
    </row>
    <row r="36" spans="1:19" ht="17.25" customHeight="1">
      <c r="A36" s="1096"/>
      <c r="B36" s="1096"/>
      <c r="C36" s="1408" t="s">
        <v>752</v>
      </c>
      <c r="D36" s="108"/>
      <c r="E36" s="108"/>
      <c r="F36" s="108"/>
      <c r="G36" s="108"/>
      <c r="H36" s="108"/>
      <c r="I36" s="108"/>
      <c r="J36" s="108"/>
      <c r="K36" s="108"/>
      <c r="L36" s="72">
        <f>3*15</f>
        <v>45</v>
      </c>
      <c r="M36" s="74" t="s">
        <v>618</v>
      </c>
      <c r="N36" s="108"/>
      <c r="O36" s="391">
        <v>2500</v>
      </c>
      <c r="P36" s="391">
        <f>L36*O36</f>
        <v>112500</v>
      </c>
      <c r="Q36" s="392"/>
      <c r="R36" s="392"/>
      <c r="S36" s="72"/>
    </row>
    <row r="37" spans="1:19" ht="17.25" customHeight="1">
      <c r="A37" s="302"/>
      <c r="B37" s="302"/>
      <c r="C37" s="396" t="s">
        <v>753</v>
      </c>
      <c r="D37" s="108"/>
      <c r="E37" s="108"/>
      <c r="F37" s="108"/>
      <c r="G37" s="108"/>
      <c r="H37" s="108"/>
      <c r="I37" s="108"/>
      <c r="J37" s="108"/>
      <c r="K37" s="108"/>
      <c r="L37" s="72">
        <v>1</v>
      </c>
      <c r="M37" s="74" t="s">
        <v>19</v>
      </c>
      <c r="N37" s="108"/>
      <c r="O37" s="391">
        <v>20000</v>
      </c>
      <c r="P37" s="391">
        <f>L37*O37</f>
        <v>20000</v>
      </c>
      <c r="Q37" s="392"/>
      <c r="R37" s="392"/>
      <c r="S37" s="72"/>
    </row>
    <row r="38" spans="1:19" ht="17.25" customHeight="1">
      <c r="A38" s="302"/>
      <c r="B38" s="302"/>
      <c r="C38" s="397" t="s">
        <v>490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384"/>
      <c r="P38" s="384"/>
      <c r="Q38" s="392"/>
      <c r="R38" s="392"/>
      <c r="S38" s="72"/>
    </row>
    <row r="39" spans="1:19" ht="17.25" customHeight="1">
      <c r="A39" s="302"/>
      <c r="B39" s="302"/>
      <c r="C39" s="398" t="s">
        <v>754</v>
      </c>
      <c r="D39" s="108"/>
      <c r="E39" s="108"/>
      <c r="F39" s="108"/>
      <c r="G39" s="108"/>
      <c r="H39" s="108"/>
      <c r="I39" s="108"/>
      <c r="J39" s="108"/>
      <c r="K39" s="108"/>
      <c r="L39" s="72">
        <v>1</v>
      </c>
      <c r="M39" s="74" t="s">
        <v>492</v>
      </c>
      <c r="N39" s="108"/>
      <c r="O39" s="391">
        <v>105000</v>
      </c>
      <c r="P39" s="391">
        <f t="shared" ref="P39:P41" si="2">L39*O39</f>
        <v>105000</v>
      </c>
      <c r="Q39" s="392"/>
      <c r="R39" s="392"/>
      <c r="S39" s="185" t="s">
        <v>187</v>
      </c>
    </row>
    <row r="40" spans="1:19" ht="17.25" customHeight="1">
      <c r="A40" s="302"/>
      <c r="B40" s="302"/>
      <c r="C40" s="399" t="s">
        <v>755</v>
      </c>
      <c r="D40" s="108"/>
      <c r="E40" s="108"/>
      <c r="F40" s="108"/>
      <c r="G40" s="108"/>
      <c r="H40" s="108"/>
      <c r="I40" s="108"/>
      <c r="J40" s="108"/>
      <c r="K40" s="108"/>
      <c r="L40" s="72">
        <v>15</v>
      </c>
      <c r="M40" s="74" t="s">
        <v>741</v>
      </c>
      <c r="N40" s="108"/>
      <c r="O40" s="391">
        <v>30000</v>
      </c>
      <c r="P40" s="391">
        <f t="shared" si="2"/>
        <v>450000</v>
      </c>
      <c r="Q40" s="392"/>
      <c r="R40" s="392"/>
      <c r="S40" s="1596" t="s">
        <v>886</v>
      </c>
    </row>
    <row r="41" spans="1:19" ht="17.25" customHeight="1">
      <c r="A41" s="302"/>
      <c r="B41" s="302"/>
      <c r="C41" s="400" t="s">
        <v>756</v>
      </c>
      <c r="D41" s="108"/>
      <c r="E41" s="108"/>
      <c r="F41" s="108"/>
      <c r="G41" s="108"/>
      <c r="H41" s="108"/>
      <c r="I41" s="108"/>
      <c r="J41" s="108"/>
      <c r="K41" s="108"/>
      <c r="L41" s="72">
        <v>15</v>
      </c>
      <c r="M41" s="74" t="s">
        <v>741</v>
      </c>
      <c r="N41" s="108"/>
      <c r="O41" s="391">
        <v>5000</v>
      </c>
      <c r="P41" s="391">
        <f t="shared" si="2"/>
        <v>75000</v>
      </c>
      <c r="Q41" s="392"/>
      <c r="R41" s="392"/>
      <c r="S41" s="1597"/>
    </row>
    <row r="42" spans="1:19" ht="19.5" customHeight="1">
      <c r="A42" s="302"/>
      <c r="B42" s="302"/>
      <c r="C42" s="385" t="s">
        <v>757</v>
      </c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6">
        <f>SUM(P43:P53)</f>
        <v>3936600</v>
      </c>
      <c r="Q42" s="385"/>
      <c r="R42" s="385"/>
      <c r="S42" s="1598"/>
    </row>
    <row r="43" spans="1:19" ht="17.25" customHeight="1">
      <c r="A43" s="302"/>
      <c r="B43" s="302"/>
      <c r="C43" s="401" t="s">
        <v>758</v>
      </c>
      <c r="D43" s="401"/>
      <c r="E43" s="401"/>
      <c r="F43" s="402"/>
      <c r="G43" s="72"/>
      <c r="H43" s="108"/>
      <c r="I43" s="108"/>
      <c r="J43" s="108"/>
      <c r="K43" s="108"/>
      <c r="L43" s="110">
        <f>50*2*15</f>
        <v>1500</v>
      </c>
      <c r="M43" s="186" t="s">
        <v>614</v>
      </c>
      <c r="N43" s="310"/>
      <c r="O43" s="110">
        <v>200</v>
      </c>
      <c r="P43" s="391">
        <f t="shared" ref="P43:P52" si="3">L43*O43</f>
        <v>300000</v>
      </c>
      <c r="Q43" s="392"/>
      <c r="R43" s="392"/>
      <c r="S43" s="1596" t="s">
        <v>885</v>
      </c>
    </row>
    <row r="44" spans="1:19" ht="17.25" customHeight="1">
      <c r="A44" s="302"/>
      <c r="B44" s="302"/>
      <c r="C44" s="401" t="s">
        <v>759</v>
      </c>
      <c r="D44" s="401"/>
      <c r="E44" s="401"/>
      <c r="F44" s="108"/>
      <c r="G44" s="108"/>
      <c r="H44" s="108"/>
      <c r="I44" s="108"/>
      <c r="J44" s="108"/>
      <c r="K44" s="108"/>
      <c r="L44" s="110">
        <f>2*15</f>
        <v>30</v>
      </c>
      <c r="M44" s="186" t="s">
        <v>618</v>
      </c>
      <c r="N44" s="310"/>
      <c r="O44" s="110">
        <v>50000</v>
      </c>
      <c r="P44" s="391">
        <f t="shared" si="3"/>
        <v>1500000</v>
      </c>
      <c r="Q44" s="392"/>
      <c r="R44" s="392"/>
      <c r="S44" s="1597"/>
    </row>
    <row r="45" spans="1:19" ht="17.25" customHeight="1">
      <c r="A45" s="302"/>
      <c r="B45" s="302"/>
      <c r="C45" s="401" t="s">
        <v>760</v>
      </c>
      <c r="D45" s="401"/>
      <c r="E45" s="401"/>
      <c r="F45" s="108"/>
      <c r="G45" s="108"/>
      <c r="H45" s="108"/>
      <c r="I45" s="108"/>
      <c r="J45" s="108"/>
      <c r="K45" s="108"/>
      <c r="L45" s="110">
        <f>50*4*15</f>
        <v>3000</v>
      </c>
      <c r="M45" s="186" t="s">
        <v>761</v>
      </c>
      <c r="N45" s="310"/>
      <c r="O45" s="110">
        <v>50</v>
      </c>
      <c r="P45" s="391">
        <f t="shared" si="3"/>
        <v>150000</v>
      </c>
      <c r="Q45" s="392"/>
      <c r="R45" s="392"/>
      <c r="S45" s="1597"/>
    </row>
    <row r="46" spans="1:19" ht="17.25" customHeight="1">
      <c r="A46" s="302"/>
      <c r="B46" s="302"/>
      <c r="C46" s="401" t="s">
        <v>762</v>
      </c>
      <c r="D46" s="401"/>
      <c r="E46" s="401"/>
      <c r="F46" s="108"/>
      <c r="G46" s="108"/>
      <c r="H46" s="108"/>
      <c r="I46" s="108"/>
      <c r="J46" s="108"/>
      <c r="K46" s="108"/>
      <c r="L46" s="110">
        <f>50*2*15</f>
        <v>1500</v>
      </c>
      <c r="M46" s="186" t="s">
        <v>761</v>
      </c>
      <c r="N46" s="310"/>
      <c r="O46" s="110">
        <v>500</v>
      </c>
      <c r="P46" s="391">
        <f t="shared" si="3"/>
        <v>750000</v>
      </c>
      <c r="Q46" s="392"/>
      <c r="R46" s="392"/>
      <c r="S46" s="1598"/>
    </row>
    <row r="47" spans="1:19" ht="17.25" customHeight="1">
      <c r="A47" s="302"/>
      <c r="B47" s="302"/>
      <c r="C47" s="401" t="s">
        <v>763</v>
      </c>
      <c r="D47" s="401"/>
      <c r="E47" s="401"/>
      <c r="F47" s="108"/>
      <c r="G47" s="108"/>
      <c r="H47" s="108"/>
      <c r="I47" s="108"/>
      <c r="J47" s="108"/>
      <c r="K47" s="108"/>
      <c r="L47" s="110">
        <f>50*1*15</f>
        <v>750</v>
      </c>
      <c r="M47" s="186" t="s">
        <v>616</v>
      </c>
      <c r="N47" s="310"/>
      <c r="O47" s="110">
        <v>1200</v>
      </c>
      <c r="P47" s="391">
        <f t="shared" si="3"/>
        <v>900000</v>
      </c>
      <c r="Q47" s="392"/>
      <c r="R47" s="392"/>
      <c r="S47" s="1596" t="s">
        <v>887</v>
      </c>
    </row>
    <row r="48" spans="1:19" ht="17.25" customHeight="1">
      <c r="A48" s="302"/>
      <c r="B48" s="302"/>
      <c r="C48" s="401" t="s">
        <v>764</v>
      </c>
      <c r="D48" s="401"/>
      <c r="E48" s="401"/>
      <c r="F48" s="108"/>
      <c r="G48" s="108"/>
      <c r="H48" s="108"/>
      <c r="I48" s="108"/>
      <c r="J48" s="108"/>
      <c r="K48" s="108"/>
      <c r="L48" s="110">
        <f>5*2*15</f>
        <v>150</v>
      </c>
      <c r="M48" s="186" t="s">
        <v>616</v>
      </c>
      <c r="N48" s="310"/>
      <c r="O48" s="110">
        <v>1200</v>
      </c>
      <c r="P48" s="391">
        <f t="shared" si="3"/>
        <v>180000</v>
      </c>
      <c r="Q48" s="392"/>
      <c r="R48" s="392"/>
      <c r="S48" s="1597"/>
    </row>
    <row r="49" spans="1:19" ht="17.25" customHeight="1">
      <c r="A49" s="302"/>
      <c r="B49" s="302"/>
      <c r="C49" s="401" t="s">
        <v>765</v>
      </c>
      <c r="D49" s="401"/>
      <c r="E49" s="401"/>
      <c r="F49" s="108"/>
      <c r="G49" s="108"/>
      <c r="H49" s="108"/>
      <c r="I49" s="108"/>
      <c r="J49" s="108"/>
      <c r="K49" s="108"/>
      <c r="L49" s="110">
        <f>2*15</f>
        <v>30</v>
      </c>
      <c r="M49" s="186" t="s">
        <v>618</v>
      </c>
      <c r="N49" s="310"/>
      <c r="O49" s="110">
        <v>2500</v>
      </c>
      <c r="P49" s="391">
        <f t="shared" si="3"/>
        <v>75000</v>
      </c>
      <c r="Q49" s="392"/>
      <c r="R49" s="392"/>
      <c r="S49" s="1597"/>
    </row>
    <row r="50" spans="1:19" ht="21.75">
      <c r="A50" s="302"/>
      <c r="B50" s="302"/>
      <c r="C50" s="401" t="s">
        <v>766</v>
      </c>
      <c r="D50" s="401"/>
      <c r="E50" s="401"/>
      <c r="F50" s="108"/>
      <c r="G50" s="108"/>
      <c r="H50" s="108"/>
      <c r="I50" s="108"/>
      <c r="J50" s="108"/>
      <c r="K50" s="108"/>
      <c r="L50" s="110">
        <f>5*2*15</f>
        <v>150</v>
      </c>
      <c r="M50" s="186" t="s">
        <v>614</v>
      </c>
      <c r="N50" s="310"/>
      <c r="O50" s="110">
        <v>240</v>
      </c>
      <c r="P50" s="391">
        <f t="shared" si="3"/>
        <v>36000</v>
      </c>
      <c r="Q50" s="392"/>
      <c r="R50" s="392"/>
      <c r="S50" s="1597"/>
    </row>
    <row r="51" spans="1:19" ht="21.75">
      <c r="A51" s="302"/>
      <c r="B51" s="302"/>
      <c r="C51" s="401" t="s">
        <v>767</v>
      </c>
      <c r="D51" s="401"/>
      <c r="E51" s="401"/>
      <c r="F51" s="108"/>
      <c r="G51" s="108"/>
      <c r="H51" s="108"/>
      <c r="I51" s="108"/>
      <c r="J51" s="108"/>
      <c r="K51" s="108"/>
      <c r="L51" s="110">
        <f>8*2</f>
        <v>16</v>
      </c>
      <c r="M51" s="186" t="s">
        <v>680</v>
      </c>
      <c r="N51" s="310"/>
      <c r="O51" s="110">
        <v>1600</v>
      </c>
      <c r="P51" s="391">
        <f t="shared" si="3"/>
        <v>25600</v>
      </c>
      <c r="Q51" s="392"/>
      <c r="R51" s="392"/>
      <c r="S51" s="1598"/>
    </row>
    <row r="52" spans="1:19" ht="21.75">
      <c r="A52" s="302"/>
      <c r="B52" s="302"/>
      <c r="C52" s="401" t="s">
        <v>768</v>
      </c>
      <c r="D52" s="401"/>
      <c r="E52" s="401"/>
      <c r="F52" s="54"/>
      <c r="I52" s="108"/>
      <c r="J52" s="108"/>
      <c r="K52" s="108"/>
      <c r="L52" s="110">
        <f>1*3</f>
        <v>3</v>
      </c>
      <c r="M52" s="186" t="s">
        <v>669</v>
      </c>
      <c r="N52" s="310"/>
      <c r="O52" s="110">
        <v>5000</v>
      </c>
      <c r="P52" s="391">
        <f t="shared" si="3"/>
        <v>15000</v>
      </c>
      <c r="Q52" s="392"/>
      <c r="R52" s="392"/>
      <c r="S52" s="72"/>
    </row>
    <row r="53" spans="1:19" ht="21.75">
      <c r="A53" s="302"/>
      <c r="B53" s="302"/>
      <c r="C53" s="401" t="s">
        <v>505</v>
      </c>
      <c r="D53" s="401"/>
      <c r="E53" s="401"/>
      <c r="F53" s="108"/>
      <c r="G53" s="108"/>
      <c r="H53" s="108"/>
      <c r="I53" s="108"/>
      <c r="J53" s="108"/>
      <c r="K53" s="108"/>
      <c r="L53" s="310"/>
      <c r="M53" s="310"/>
      <c r="N53" s="310"/>
      <c r="O53" s="310"/>
      <c r="P53" s="391">
        <v>5000</v>
      </c>
      <c r="Q53" s="392"/>
      <c r="R53" s="392"/>
      <c r="S53" s="72"/>
    </row>
    <row r="54" spans="1:19">
      <c r="A54" s="302"/>
      <c r="B54" s="303"/>
      <c r="C54" s="385" t="s">
        <v>769</v>
      </c>
      <c r="D54" s="385"/>
      <c r="E54" s="385"/>
      <c r="F54" s="385"/>
      <c r="G54" s="385"/>
      <c r="H54" s="385"/>
      <c r="I54" s="385"/>
      <c r="J54" s="385"/>
      <c r="K54" s="385"/>
      <c r="L54" s="1515"/>
      <c r="M54" s="1515"/>
      <c r="N54" s="310"/>
      <c r="O54" s="310"/>
      <c r="P54" s="386">
        <f>SUM(P55:P65)</f>
        <v>3936600</v>
      </c>
      <c r="Q54" s="385"/>
      <c r="R54" s="385"/>
      <c r="S54" s="387"/>
    </row>
    <row r="55" spans="1:19" ht="21.75">
      <c r="A55" s="302"/>
      <c r="B55" s="303"/>
      <c r="C55" s="403" t="s">
        <v>758</v>
      </c>
      <c r="D55" s="403"/>
      <c r="E55" s="403"/>
      <c r="F55" s="403"/>
      <c r="G55" s="72"/>
      <c r="H55" s="108"/>
      <c r="I55" s="108"/>
      <c r="J55" s="108"/>
      <c r="K55" s="108"/>
      <c r="L55" s="110">
        <f>50*2*15</f>
        <v>1500</v>
      </c>
      <c r="M55" s="186" t="s">
        <v>614</v>
      </c>
      <c r="N55" s="310"/>
      <c r="O55" s="110">
        <v>200</v>
      </c>
      <c r="P55" s="391">
        <f t="shared" ref="P55:P64" si="4">L55*O55</f>
        <v>300000</v>
      </c>
      <c r="Q55" s="392"/>
      <c r="R55" s="392"/>
      <c r="S55" s="72"/>
    </row>
    <row r="56" spans="1:19" ht="21.75">
      <c r="A56" s="302"/>
      <c r="B56" s="303"/>
      <c r="C56" s="404" t="s">
        <v>759</v>
      </c>
      <c r="D56" s="54"/>
      <c r="E56" s="54"/>
      <c r="F56" s="108"/>
      <c r="G56" s="108"/>
      <c r="H56" s="108"/>
      <c r="I56" s="108"/>
      <c r="J56" s="108"/>
      <c r="K56" s="108"/>
      <c r="L56" s="110">
        <f>2*1*15</f>
        <v>30</v>
      </c>
      <c r="M56" s="186" t="s">
        <v>618</v>
      </c>
      <c r="N56" s="310"/>
      <c r="O56" s="110">
        <v>50000</v>
      </c>
      <c r="P56" s="391">
        <f t="shared" si="4"/>
        <v>1500000</v>
      </c>
      <c r="Q56" s="392"/>
      <c r="R56" s="392"/>
      <c r="S56" s="72"/>
    </row>
    <row r="57" spans="1:19" ht="21.75">
      <c r="A57" s="302"/>
      <c r="B57" s="303"/>
      <c r="C57" s="1773" t="s">
        <v>760</v>
      </c>
      <c r="D57" s="1773"/>
      <c r="E57" s="1773"/>
      <c r="F57" s="108"/>
      <c r="G57" s="108"/>
      <c r="H57" s="108"/>
      <c r="I57" s="108"/>
      <c r="J57" s="108"/>
      <c r="K57" s="108"/>
      <c r="L57" s="110">
        <f>50*4*1*15</f>
        <v>3000</v>
      </c>
      <c r="M57" s="186" t="s">
        <v>761</v>
      </c>
      <c r="N57" s="310"/>
      <c r="O57" s="110">
        <v>50</v>
      </c>
      <c r="P57" s="391">
        <f t="shared" si="4"/>
        <v>150000</v>
      </c>
      <c r="Q57" s="392"/>
      <c r="R57" s="392"/>
      <c r="S57" s="72"/>
    </row>
    <row r="58" spans="1:19" ht="21.75">
      <c r="A58" s="302"/>
      <c r="B58" s="303"/>
      <c r="C58" s="405" t="s">
        <v>762</v>
      </c>
      <c r="D58" s="54"/>
      <c r="E58" s="54"/>
      <c r="F58" s="108"/>
      <c r="G58" s="108"/>
      <c r="H58" s="108"/>
      <c r="I58" s="108"/>
      <c r="J58" s="108"/>
      <c r="K58" s="108"/>
      <c r="L58" s="110">
        <f>50*2*1*15</f>
        <v>1500</v>
      </c>
      <c r="M58" s="186" t="s">
        <v>761</v>
      </c>
      <c r="N58" s="310"/>
      <c r="O58" s="110">
        <v>500</v>
      </c>
      <c r="P58" s="391">
        <f t="shared" si="4"/>
        <v>750000</v>
      </c>
      <c r="Q58" s="392"/>
      <c r="R58" s="392"/>
      <c r="S58" s="72"/>
    </row>
    <row r="59" spans="1:19" ht="21.75">
      <c r="A59" s="302"/>
      <c r="B59" s="303"/>
      <c r="C59" s="406" t="s">
        <v>763</v>
      </c>
      <c r="D59" s="54"/>
      <c r="E59" s="54"/>
      <c r="F59" s="108"/>
      <c r="G59" s="108"/>
      <c r="H59" s="108"/>
      <c r="I59" s="108"/>
      <c r="J59" s="108"/>
      <c r="K59" s="108"/>
      <c r="L59" s="110">
        <f>50*1*15</f>
        <v>750</v>
      </c>
      <c r="M59" s="186" t="s">
        <v>616</v>
      </c>
      <c r="N59" s="310"/>
      <c r="O59" s="110">
        <v>1200</v>
      </c>
      <c r="P59" s="391">
        <f t="shared" si="4"/>
        <v>900000</v>
      </c>
      <c r="Q59" s="392"/>
      <c r="R59" s="392"/>
      <c r="S59" s="72"/>
    </row>
    <row r="60" spans="1:19" ht="21.75">
      <c r="A60" s="302"/>
      <c r="B60" s="303"/>
      <c r="C60" s="406" t="s">
        <v>770</v>
      </c>
      <c r="D60" s="54"/>
      <c r="E60" s="54"/>
      <c r="F60" s="108"/>
      <c r="G60" s="108"/>
      <c r="H60" s="108"/>
      <c r="I60" s="108"/>
      <c r="J60" s="108"/>
      <c r="K60" s="108"/>
      <c r="L60" s="110">
        <f>5*2*15</f>
        <v>150</v>
      </c>
      <c r="M60" s="186" t="s">
        <v>616</v>
      </c>
      <c r="N60" s="310"/>
      <c r="O60" s="110">
        <v>1200</v>
      </c>
      <c r="P60" s="391">
        <f t="shared" si="4"/>
        <v>180000</v>
      </c>
      <c r="Q60" s="392"/>
      <c r="R60" s="392"/>
      <c r="S60" s="72"/>
    </row>
    <row r="61" spans="1:19" ht="21.75">
      <c r="A61" s="302"/>
      <c r="B61" s="303"/>
      <c r="C61" s="406" t="s">
        <v>765</v>
      </c>
      <c r="D61" s="54"/>
      <c r="E61" s="54"/>
      <c r="F61" s="108"/>
      <c r="G61" s="108"/>
      <c r="H61" s="108"/>
      <c r="I61" s="108"/>
      <c r="J61" s="108"/>
      <c r="K61" s="108"/>
      <c r="L61" s="110">
        <f>1*2*15</f>
        <v>30</v>
      </c>
      <c r="M61" s="186" t="s">
        <v>614</v>
      </c>
      <c r="N61" s="310"/>
      <c r="O61" s="110">
        <v>2500</v>
      </c>
      <c r="P61" s="391">
        <f t="shared" si="4"/>
        <v>75000</v>
      </c>
      <c r="Q61" s="392"/>
      <c r="R61" s="392"/>
      <c r="S61" s="72"/>
    </row>
    <row r="62" spans="1:19" ht="21.75">
      <c r="A62" s="302"/>
      <c r="B62" s="303"/>
      <c r="C62" s="54" t="s">
        <v>766</v>
      </c>
      <c r="D62" s="54"/>
      <c r="E62" s="54"/>
      <c r="F62" s="108"/>
      <c r="G62" s="108"/>
      <c r="H62" s="108"/>
      <c r="I62" s="108"/>
      <c r="J62" s="108"/>
      <c r="K62" s="108"/>
      <c r="L62" s="110">
        <f>5*2*15</f>
        <v>150</v>
      </c>
      <c r="M62" s="186" t="s">
        <v>614</v>
      </c>
      <c r="N62" s="310"/>
      <c r="O62" s="110">
        <v>240</v>
      </c>
      <c r="P62" s="391">
        <f t="shared" si="4"/>
        <v>36000</v>
      </c>
      <c r="Q62" s="392"/>
      <c r="R62" s="392"/>
      <c r="S62" s="72"/>
    </row>
    <row r="63" spans="1:19" ht="21.75">
      <c r="A63" s="302"/>
      <c r="B63" s="303"/>
      <c r="C63" s="54" t="s">
        <v>767</v>
      </c>
      <c r="D63" s="54"/>
      <c r="E63" s="54"/>
      <c r="F63" s="108"/>
      <c r="G63" s="108"/>
      <c r="H63" s="108"/>
      <c r="I63" s="108"/>
      <c r="J63" s="108"/>
      <c r="K63" s="108"/>
      <c r="L63" s="110">
        <f>8*2</f>
        <v>16</v>
      </c>
      <c r="M63" s="186" t="s">
        <v>680</v>
      </c>
      <c r="N63" s="310"/>
      <c r="O63" s="110">
        <v>1600</v>
      </c>
      <c r="P63" s="391">
        <f t="shared" si="4"/>
        <v>25600</v>
      </c>
      <c r="Q63" s="392"/>
      <c r="R63" s="392"/>
      <c r="S63" s="72"/>
    </row>
    <row r="64" spans="1:19" ht="21.75">
      <c r="A64" s="1096"/>
      <c r="B64" s="1419"/>
      <c r="C64" s="54" t="s">
        <v>768</v>
      </c>
      <c r="D64" s="54"/>
      <c r="E64" s="54"/>
      <c r="F64" s="54"/>
      <c r="G64" s="1420"/>
      <c r="H64" s="1420"/>
      <c r="I64" s="108"/>
      <c r="J64" s="108"/>
      <c r="K64" s="108"/>
      <c r="L64" s="110">
        <f>1*3</f>
        <v>3</v>
      </c>
      <c r="M64" s="186" t="s">
        <v>669</v>
      </c>
      <c r="N64" s="310"/>
      <c r="O64" s="110">
        <v>5000</v>
      </c>
      <c r="P64" s="391">
        <f t="shared" si="4"/>
        <v>15000</v>
      </c>
      <c r="Q64" s="392"/>
      <c r="R64" s="392"/>
      <c r="S64" s="72"/>
    </row>
    <row r="65" spans="1:19" ht="21.75">
      <c r="A65" s="302"/>
      <c r="B65" s="303"/>
      <c r="C65" s="203" t="s">
        <v>505</v>
      </c>
      <c r="D65" s="203"/>
      <c r="E65" s="203"/>
      <c r="F65" s="172"/>
      <c r="G65" s="172"/>
      <c r="H65" s="172"/>
      <c r="I65" s="172"/>
      <c r="J65" s="172"/>
      <c r="K65" s="172"/>
      <c r="L65" s="1516"/>
      <c r="M65" s="1516"/>
      <c r="N65" s="1516"/>
      <c r="O65" s="1516"/>
      <c r="P65" s="1417">
        <v>5000</v>
      </c>
      <c r="Q65" s="1418"/>
      <c r="R65" s="1418"/>
      <c r="S65" s="170"/>
    </row>
    <row r="66" spans="1:19">
      <c r="A66" s="302"/>
      <c r="B66" s="303"/>
      <c r="C66" s="385" t="s">
        <v>771</v>
      </c>
      <c r="D66" s="385"/>
      <c r="E66" s="385"/>
      <c r="F66" s="385"/>
      <c r="G66" s="108"/>
      <c r="H66" s="108"/>
      <c r="I66" s="108"/>
      <c r="J66" s="108"/>
      <c r="K66" s="108"/>
      <c r="L66" s="310"/>
      <c r="M66" s="310"/>
      <c r="N66" s="310"/>
      <c r="O66" s="310"/>
      <c r="P66" s="386">
        <f>SUM(P67:P69)</f>
        <v>2103000</v>
      </c>
      <c r="Q66" s="385"/>
      <c r="R66" s="385"/>
      <c r="S66" s="387"/>
    </row>
    <row r="67" spans="1:19" ht="21.75">
      <c r="A67" s="302"/>
      <c r="B67" s="303"/>
      <c r="C67" s="407" t="s">
        <v>772</v>
      </c>
      <c r="D67" s="408"/>
      <c r="E67" s="54"/>
      <c r="F67" s="54"/>
      <c r="H67" s="108"/>
      <c r="I67" s="108"/>
      <c r="J67" s="108"/>
      <c r="K67" s="108"/>
      <c r="L67" s="110">
        <f>2*30*2*15</f>
        <v>1800</v>
      </c>
      <c r="M67" s="186" t="s">
        <v>773</v>
      </c>
      <c r="N67" s="310"/>
      <c r="O67" s="110">
        <v>100</v>
      </c>
      <c r="P67" s="391">
        <f>L67*O67</f>
        <v>180000</v>
      </c>
      <c r="Q67" s="392"/>
      <c r="R67" s="392"/>
      <c r="S67" s="72"/>
    </row>
    <row r="68" spans="1:19" ht="21.75">
      <c r="A68" s="302"/>
      <c r="B68" s="303"/>
      <c r="C68" s="407" t="s">
        <v>774</v>
      </c>
      <c r="D68" s="408"/>
      <c r="E68" s="54"/>
      <c r="F68" s="108"/>
      <c r="G68" s="108"/>
      <c r="H68" s="108"/>
      <c r="I68" s="108"/>
      <c r="J68" s="108"/>
      <c r="K68" s="108"/>
      <c r="L68" s="110">
        <v>3</v>
      </c>
      <c r="M68" s="186" t="s">
        <v>20</v>
      </c>
      <c r="N68" s="310"/>
      <c r="O68" s="110">
        <v>341000</v>
      </c>
      <c r="P68" s="391">
        <f>L68*O68</f>
        <v>1023000</v>
      </c>
      <c r="Q68" s="392"/>
      <c r="R68" s="392"/>
      <c r="S68" s="72"/>
    </row>
    <row r="69" spans="1:19" ht="21.75">
      <c r="A69" s="302"/>
      <c r="B69" s="303"/>
      <c r="C69" s="407" t="s">
        <v>775</v>
      </c>
      <c r="D69" s="408"/>
      <c r="E69" s="54"/>
      <c r="F69" s="108"/>
      <c r="G69" s="108"/>
      <c r="H69" s="108"/>
      <c r="I69" s="108"/>
      <c r="J69" s="108"/>
      <c r="K69" s="108"/>
      <c r="L69" s="110">
        <v>2</v>
      </c>
      <c r="M69" s="186" t="s">
        <v>776</v>
      </c>
      <c r="N69" s="310"/>
      <c r="O69" s="110">
        <v>450000</v>
      </c>
      <c r="P69" s="391">
        <f>L69*O69</f>
        <v>900000</v>
      </c>
      <c r="Q69" s="392"/>
      <c r="R69" s="392"/>
      <c r="S69" s="72"/>
    </row>
    <row r="70" spans="1:19">
      <c r="A70" s="302"/>
      <c r="B70" s="303"/>
      <c r="C70" s="385" t="s">
        <v>777</v>
      </c>
      <c r="D70" s="385"/>
      <c r="E70" s="385"/>
      <c r="F70" s="385"/>
      <c r="G70" s="385"/>
      <c r="H70" s="385"/>
      <c r="I70" s="385"/>
      <c r="J70" s="385"/>
      <c r="K70" s="108"/>
      <c r="L70" s="310"/>
      <c r="M70" s="1517"/>
      <c r="N70" s="310"/>
      <c r="O70" s="310"/>
      <c r="P70" s="386">
        <f>SUM(P71:P75)</f>
        <v>2829000</v>
      </c>
      <c r="Q70" s="385"/>
      <c r="R70" s="385"/>
      <c r="S70" s="387"/>
    </row>
    <row r="71" spans="1:19" ht="21.75">
      <c r="A71" s="302"/>
      <c r="B71" s="303"/>
      <c r="C71" s="407" t="s">
        <v>778</v>
      </c>
      <c r="D71" s="54"/>
      <c r="E71" s="54"/>
      <c r="F71" s="108"/>
      <c r="G71" s="108"/>
      <c r="H71" s="108"/>
      <c r="I71" s="108"/>
      <c r="J71" s="108"/>
      <c r="K71" s="108"/>
      <c r="L71" s="110">
        <v>30</v>
      </c>
      <c r="M71" s="186" t="s">
        <v>361</v>
      </c>
      <c r="N71" s="310"/>
      <c r="O71" s="110">
        <v>50000</v>
      </c>
      <c r="P71" s="391">
        <f>L71*O71</f>
        <v>1500000</v>
      </c>
      <c r="Q71" s="392"/>
      <c r="R71" s="392"/>
      <c r="S71" s="72"/>
    </row>
    <row r="72" spans="1:19" ht="21.75">
      <c r="A72" s="302"/>
      <c r="B72" s="303"/>
      <c r="C72" s="407" t="s">
        <v>779</v>
      </c>
      <c r="D72" s="54"/>
      <c r="E72" s="54"/>
      <c r="F72" s="108"/>
      <c r="G72" s="108"/>
      <c r="H72" s="108"/>
      <c r="I72" s="108"/>
      <c r="J72" s="108"/>
      <c r="K72" s="108"/>
      <c r="L72" s="110">
        <f>3*30</f>
        <v>90</v>
      </c>
      <c r="M72" s="186" t="s">
        <v>780</v>
      </c>
      <c r="N72" s="310"/>
      <c r="O72" s="110">
        <v>10500</v>
      </c>
      <c r="P72" s="391">
        <f>L72*O72</f>
        <v>945000</v>
      </c>
      <c r="Q72" s="392"/>
      <c r="R72" s="392"/>
      <c r="S72" s="72"/>
    </row>
    <row r="73" spans="1:19" ht="21.75">
      <c r="A73" s="302"/>
      <c r="B73" s="303"/>
      <c r="C73" s="407" t="s">
        <v>781</v>
      </c>
      <c r="D73" s="54"/>
      <c r="E73" s="54"/>
      <c r="F73" s="108"/>
      <c r="G73" s="108"/>
      <c r="H73" s="108"/>
      <c r="I73" s="108"/>
      <c r="J73" s="108"/>
      <c r="K73" s="108"/>
      <c r="L73" s="110">
        <f>3*30</f>
        <v>90</v>
      </c>
      <c r="M73" s="186" t="s">
        <v>782</v>
      </c>
      <c r="N73" s="310"/>
      <c r="O73" s="110">
        <v>2100</v>
      </c>
      <c r="P73" s="391">
        <f>L73*O73</f>
        <v>189000</v>
      </c>
      <c r="Q73" s="392"/>
      <c r="R73" s="392"/>
      <c r="S73" s="72"/>
    </row>
    <row r="74" spans="1:19" ht="21.75">
      <c r="A74" s="302"/>
      <c r="B74" s="303"/>
      <c r="C74" s="409" t="s">
        <v>783</v>
      </c>
      <c r="D74" s="54"/>
      <c r="E74" s="54"/>
      <c r="F74" s="108"/>
      <c r="G74" s="108"/>
      <c r="H74" s="108"/>
      <c r="I74" s="108"/>
      <c r="J74" s="108"/>
      <c r="K74" s="108"/>
      <c r="L74" s="110">
        <v>3</v>
      </c>
      <c r="M74" s="186" t="s">
        <v>33</v>
      </c>
      <c r="N74" s="310"/>
      <c r="O74" s="110">
        <v>55000</v>
      </c>
      <c r="P74" s="391">
        <f>L74*O74</f>
        <v>165000</v>
      </c>
      <c r="Q74" s="392"/>
      <c r="R74" s="392"/>
      <c r="S74" s="72"/>
    </row>
    <row r="75" spans="1:19" ht="21.75">
      <c r="A75" s="302"/>
      <c r="B75" s="303"/>
      <c r="C75" s="410" t="s">
        <v>784</v>
      </c>
      <c r="D75" s="54"/>
      <c r="E75" s="54"/>
      <c r="F75" s="108"/>
      <c r="G75" s="108"/>
      <c r="H75" s="108"/>
      <c r="I75" s="108"/>
      <c r="J75" s="108"/>
      <c r="K75" s="108"/>
      <c r="L75" s="110">
        <v>3</v>
      </c>
      <c r="M75" s="186" t="s">
        <v>33</v>
      </c>
      <c r="N75" s="310"/>
      <c r="O75" s="110">
        <v>10000</v>
      </c>
      <c r="P75" s="391">
        <f>L75*O75</f>
        <v>30000</v>
      </c>
      <c r="Q75" s="392"/>
      <c r="R75" s="392"/>
      <c r="S75" s="72"/>
    </row>
    <row r="76" spans="1:19">
      <c r="A76" s="302"/>
      <c r="B76" s="303"/>
      <c r="C76" s="385" t="s">
        <v>785</v>
      </c>
      <c r="D76" s="385"/>
      <c r="E76" s="385"/>
      <c r="F76" s="385"/>
      <c r="G76" s="385"/>
      <c r="H76" s="385"/>
      <c r="I76" s="385"/>
      <c r="J76" s="385"/>
      <c r="K76" s="385"/>
      <c r="L76" s="1515"/>
      <c r="M76" s="1518"/>
      <c r="N76" s="310"/>
      <c r="O76" s="310"/>
      <c r="P76" s="386">
        <f>SUM(P77:P90)</f>
        <v>1707050</v>
      </c>
      <c r="Q76" s="385"/>
      <c r="R76" s="385"/>
      <c r="S76" s="387"/>
    </row>
    <row r="77" spans="1:19" ht="21.75">
      <c r="A77" s="302"/>
      <c r="B77" s="303"/>
      <c r="C77" s="411" t="s">
        <v>786</v>
      </c>
      <c r="D77" s="54"/>
      <c r="E77" s="54"/>
      <c r="F77" s="108"/>
      <c r="G77" s="108"/>
      <c r="H77" s="108"/>
      <c r="I77" s="108"/>
      <c r="J77" s="108"/>
      <c r="K77" s="108"/>
      <c r="L77" s="110">
        <v>1</v>
      </c>
      <c r="M77" s="186" t="s">
        <v>18</v>
      </c>
      <c r="N77" s="310"/>
      <c r="O77" s="110">
        <v>200000</v>
      </c>
      <c r="P77" s="391">
        <f t="shared" ref="P77:P90" si="5">L77*O77</f>
        <v>200000</v>
      </c>
      <c r="Q77" s="392"/>
      <c r="R77" s="392"/>
      <c r="S77" s="72"/>
    </row>
    <row r="78" spans="1:19" ht="21.75">
      <c r="A78" s="302"/>
      <c r="B78" s="303"/>
      <c r="C78" s="411" t="s">
        <v>787</v>
      </c>
      <c r="D78" s="54"/>
      <c r="E78" s="54"/>
      <c r="F78" s="108"/>
      <c r="G78" s="108"/>
      <c r="H78" s="108"/>
      <c r="I78" s="108"/>
      <c r="J78" s="108"/>
      <c r="K78" s="108"/>
      <c r="L78" s="110">
        <v>1</v>
      </c>
      <c r="M78" s="186" t="s">
        <v>389</v>
      </c>
      <c r="N78" s="310"/>
      <c r="O78" s="110">
        <v>50000</v>
      </c>
      <c r="P78" s="391">
        <f t="shared" si="5"/>
        <v>50000</v>
      </c>
      <c r="Q78" s="392"/>
      <c r="R78" s="392"/>
      <c r="S78" s="72"/>
    </row>
    <row r="79" spans="1:19" ht="21.75">
      <c r="A79" s="302"/>
      <c r="B79" s="303"/>
      <c r="C79" s="411" t="s">
        <v>788</v>
      </c>
      <c r="D79" s="54"/>
      <c r="E79" s="54"/>
      <c r="F79" s="108"/>
      <c r="G79" s="108"/>
      <c r="H79" s="108"/>
      <c r="I79" s="108"/>
      <c r="J79" s="108"/>
      <c r="K79" s="108"/>
      <c r="L79" s="110">
        <v>50</v>
      </c>
      <c r="M79" s="186" t="s">
        <v>385</v>
      </c>
      <c r="N79" s="310"/>
      <c r="O79" s="110">
        <v>600</v>
      </c>
      <c r="P79" s="391">
        <f t="shared" si="5"/>
        <v>30000</v>
      </c>
      <c r="Q79" s="392"/>
      <c r="R79" s="392"/>
      <c r="S79" s="72"/>
    </row>
    <row r="80" spans="1:19" ht="21.75">
      <c r="A80" s="302"/>
      <c r="B80" s="303"/>
      <c r="C80" s="411" t="s">
        <v>789</v>
      </c>
      <c r="D80" s="54"/>
      <c r="E80" s="54"/>
      <c r="F80" s="108"/>
      <c r="G80" s="108"/>
      <c r="H80" s="108"/>
      <c r="I80" s="108"/>
      <c r="J80" s="108"/>
      <c r="K80" s="108"/>
      <c r="L80" s="110">
        <v>10</v>
      </c>
      <c r="M80" s="186" t="s">
        <v>442</v>
      </c>
      <c r="N80" s="310"/>
      <c r="O80" s="110">
        <v>2500</v>
      </c>
      <c r="P80" s="391">
        <f t="shared" si="5"/>
        <v>25000</v>
      </c>
      <c r="Q80" s="392"/>
      <c r="R80" s="392"/>
      <c r="S80" s="72"/>
    </row>
    <row r="81" spans="1:19" ht="21.75">
      <c r="A81" s="302"/>
      <c r="B81" s="303"/>
      <c r="C81" s="411" t="s">
        <v>790</v>
      </c>
      <c r="D81" s="54"/>
      <c r="E81" s="54"/>
      <c r="F81" s="108"/>
      <c r="G81" s="108"/>
      <c r="H81" s="108"/>
      <c r="I81" s="108"/>
      <c r="J81" s="108"/>
      <c r="K81" s="108"/>
      <c r="L81" s="110">
        <v>750</v>
      </c>
      <c r="M81" s="186" t="s">
        <v>442</v>
      </c>
      <c r="N81" s="310"/>
      <c r="O81" s="110">
        <v>1000</v>
      </c>
      <c r="P81" s="391">
        <f t="shared" si="5"/>
        <v>750000</v>
      </c>
      <c r="Q81" s="392"/>
      <c r="R81" s="392"/>
      <c r="S81" s="72"/>
    </row>
    <row r="82" spans="1:19" ht="21.75">
      <c r="A82" s="302"/>
      <c r="B82" s="303"/>
      <c r="C82" s="411" t="s">
        <v>791</v>
      </c>
      <c r="D82" s="54"/>
      <c r="E82" s="54"/>
      <c r="F82" s="108"/>
      <c r="G82" s="108"/>
      <c r="H82" s="108"/>
      <c r="I82" s="108"/>
      <c r="J82" s="108"/>
      <c r="K82" s="108"/>
      <c r="L82" s="110">
        <v>750</v>
      </c>
      <c r="M82" s="186" t="s">
        <v>444</v>
      </c>
      <c r="N82" s="310"/>
      <c r="O82" s="110">
        <v>100</v>
      </c>
      <c r="P82" s="391">
        <f t="shared" si="5"/>
        <v>75000</v>
      </c>
      <c r="Q82" s="392"/>
      <c r="R82" s="392"/>
      <c r="S82" s="72"/>
    </row>
    <row r="83" spans="1:19" ht="21.75">
      <c r="A83" s="302"/>
      <c r="B83" s="303"/>
      <c r="C83" s="412" t="s">
        <v>792</v>
      </c>
      <c r="D83" s="227"/>
      <c r="E83" s="54"/>
      <c r="F83" s="54"/>
      <c r="G83" s="54"/>
      <c r="H83" s="108"/>
      <c r="I83" s="108"/>
      <c r="J83" s="108"/>
      <c r="K83" s="108"/>
      <c r="L83" s="110">
        <v>2500</v>
      </c>
      <c r="M83" s="186" t="s">
        <v>19</v>
      </c>
      <c r="N83" s="310"/>
      <c r="O83" s="110">
        <v>2.15</v>
      </c>
      <c r="P83" s="391">
        <f t="shared" si="5"/>
        <v>5375</v>
      </c>
      <c r="Q83" s="392"/>
      <c r="R83" s="392"/>
      <c r="S83" s="72"/>
    </row>
    <row r="84" spans="1:19" ht="21.75">
      <c r="A84" s="302"/>
      <c r="B84" s="303"/>
      <c r="C84" s="410" t="s">
        <v>793</v>
      </c>
      <c r="D84" s="54"/>
      <c r="E84" s="54"/>
      <c r="F84" s="108"/>
      <c r="G84" s="108"/>
      <c r="H84" s="108"/>
      <c r="I84" s="108"/>
      <c r="J84" s="108"/>
      <c r="K84" s="108"/>
      <c r="L84" s="110">
        <v>500</v>
      </c>
      <c r="M84" s="186" t="s">
        <v>19</v>
      </c>
      <c r="N84" s="310"/>
      <c r="O84" s="110">
        <v>100</v>
      </c>
      <c r="P84" s="391">
        <f t="shared" si="5"/>
        <v>50000</v>
      </c>
      <c r="Q84" s="392"/>
      <c r="R84" s="392"/>
      <c r="S84" s="72"/>
    </row>
    <row r="85" spans="1:19" ht="21.75">
      <c r="A85" s="302"/>
      <c r="B85" s="303"/>
      <c r="C85" s="410" t="s">
        <v>794</v>
      </c>
      <c r="D85" s="54"/>
      <c r="E85" s="54"/>
      <c r="F85" s="108"/>
      <c r="G85" s="108"/>
      <c r="H85" s="108"/>
      <c r="I85" s="108"/>
      <c r="J85" s="108"/>
      <c r="K85" s="108"/>
      <c r="L85" s="110">
        <v>500</v>
      </c>
      <c r="M85" s="186" t="s">
        <v>19</v>
      </c>
      <c r="N85" s="310"/>
      <c r="O85" s="110">
        <v>6.85</v>
      </c>
      <c r="P85" s="391">
        <f t="shared" si="5"/>
        <v>3425</v>
      </c>
      <c r="Q85" s="392"/>
      <c r="R85" s="392"/>
      <c r="S85" s="72"/>
    </row>
    <row r="86" spans="1:19" ht="21.75">
      <c r="A86" s="302"/>
      <c r="B86" s="303"/>
      <c r="C86" s="410" t="s">
        <v>795</v>
      </c>
      <c r="D86" s="54"/>
      <c r="E86" s="54"/>
      <c r="F86" s="108"/>
      <c r="G86" s="108"/>
      <c r="H86" s="108"/>
      <c r="I86" s="108"/>
      <c r="J86" s="108"/>
      <c r="K86" s="108"/>
      <c r="L86" s="110">
        <v>75</v>
      </c>
      <c r="M86" s="186" t="s">
        <v>19</v>
      </c>
      <c r="N86" s="310"/>
      <c r="O86" s="110">
        <v>510</v>
      </c>
      <c r="P86" s="391">
        <f t="shared" si="5"/>
        <v>38250</v>
      </c>
      <c r="Q86" s="392"/>
      <c r="R86" s="392"/>
      <c r="S86" s="72"/>
    </row>
    <row r="87" spans="1:19" ht="21.75">
      <c r="A87" s="302"/>
      <c r="B87" s="303"/>
      <c r="C87" s="410" t="s">
        <v>796</v>
      </c>
      <c r="D87" s="54"/>
      <c r="E87" s="54"/>
      <c r="F87" s="108"/>
      <c r="G87" s="108"/>
      <c r="H87" s="108"/>
      <c r="I87" s="108"/>
      <c r="J87" s="108"/>
      <c r="K87" s="108"/>
      <c r="L87" s="110">
        <v>1</v>
      </c>
      <c r="M87" s="186" t="s">
        <v>19</v>
      </c>
      <c r="N87" s="310"/>
      <c r="O87" s="110">
        <v>5000</v>
      </c>
      <c r="P87" s="391">
        <f t="shared" si="5"/>
        <v>5000</v>
      </c>
      <c r="Q87" s="392"/>
      <c r="R87" s="392"/>
      <c r="S87" s="72"/>
    </row>
    <row r="88" spans="1:19" ht="21.75">
      <c r="A88" s="302"/>
      <c r="B88" s="303"/>
      <c r="C88" s="410" t="s">
        <v>797</v>
      </c>
      <c r="D88" s="54"/>
      <c r="E88" s="54"/>
      <c r="F88" s="108"/>
      <c r="G88" s="108"/>
      <c r="H88" s="108"/>
      <c r="I88" s="108"/>
      <c r="J88" s="108"/>
      <c r="K88" s="108"/>
      <c r="L88" s="110">
        <v>1</v>
      </c>
      <c r="M88" s="186" t="s">
        <v>19</v>
      </c>
      <c r="N88" s="310"/>
      <c r="O88" s="110">
        <v>50000</v>
      </c>
      <c r="P88" s="391">
        <f t="shared" si="5"/>
        <v>50000</v>
      </c>
      <c r="Q88" s="392"/>
      <c r="R88" s="392"/>
      <c r="S88" s="72"/>
    </row>
    <row r="89" spans="1:19" ht="21.75">
      <c r="A89" s="302"/>
      <c r="B89" s="303"/>
      <c r="C89" s="413" t="s">
        <v>798</v>
      </c>
      <c r="D89" s="54"/>
      <c r="E89" s="54"/>
      <c r="F89" s="108"/>
      <c r="G89" s="108"/>
      <c r="H89" s="108"/>
      <c r="I89" s="108"/>
      <c r="J89" s="108"/>
      <c r="K89" s="108"/>
      <c r="L89" s="110">
        <v>1</v>
      </c>
      <c r="M89" s="186" t="s">
        <v>19</v>
      </c>
      <c r="N89" s="310"/>
      <c r="O89" s="110">
        <v>50000</v>
      </c>
      <c r="P89" s="391">
        <f t="shared" si="5"/>
        <v>50000</v>
      </c>
      <c r="Q89" s="392"/>
      <c r="R89" s="392"/>
      <c r="S89" s="72"/>
    </row>
    <row r="90" spans="1:19" ht="21.75">
      <c r="A90" s="344"/>
      <c r="B90" s="1424"/>
      <c r="C90" s="413" t="s">
        <v>799</v>
      </c>
      <c r="D90" s="54"/>
      <c r="E90" s="54"/>
      <c r="F90" s="108"/>
      <c r="G90" s="108"/>
      <c r="H90" s="108"/>
      <c r="I90" s="108"/>
      <c r="J90" s="108"/>
      <c r="K90" s="108"/>
      <c r="L90" s="110">
        <v>750</v>
      </c>
      <c r="M90" s="186" t="s">
        <v>19</v>
      </c>
      <c r="N90" s="310"/>
      <c r="O90" s="110">
        <v>500</v>
      </c>
      <c r="P90" s="391">
        <f t="shared" si="5"/>
        <v>375000</v>
      </c>
      <c r="Q90" s="392"/>
      <c r="R90" s="392"/>
      <c r="S90" s="72"/>
    </row>
    <row r="91" spans="1:19">
      <c r="A91" s="302"/>
      <c r="B91" s="303"/>
      <c r="C91" s="1421" t="s">
        <v>800</v>
      </c>
      <c r="D91" s="1421"/>
      <c r="E91" s="1421"/>
      <c r="F91" s="172"/>
      <c r="G91" s="172"/>
      <c r="H91" s="172"/>
      <c r="I91" s="172"/>
      <c r="J91" s="172"/>
      <c r="K91" s="172"/>
      <c r="L91" s="1516"/>
      <c r="M91" s="1519"/>
      <c r="N91" s="1516"/>
      <c r="O91" s="1516"/>
      <c r="P91" s="1422">
        <f>SUM(P92:P99)</f>
        <v>522000</v>
      </c>
      <c r="Q91" s="1421"/>
      <c r="R91" s="1421"/>
      <c r="S91" s="1423"/>
    </row>
    <row r="92" spans="1:19" ht="21.75">
      <c r="A92" s="302"/>
      <c r="B92" s="303"/>
      <c r="C92" s="414" t="s">
        <v>801</v>
      </c>
      <c r="D92" s="54"/>
      <c r="E92" s="54"/>
      <c r="F92" s="54"/>
      <c r="G92" s="72"/>
      <c r="H92" s="108"/>
      <c r="I92" s="108"/>
      <c r="J92" s="108"/>
      <c r="K92" s="108"/>
      <c r="L92" s="110">
        <v>12</v>
      </c>
      <c r="M92" s="186" t="s">
        <v>20</v>
      </c>
      <c r="N92" s="310"/>
      <c r="O92" s="110">
        <v>500</v>
      </c>
      <c r="P92" s="391">
        <f>L92*O92</f>
        <v>6000</v>
      </c>
      <c r="Q92" s="392"/>
      <c r="R92" s="392"/>
      <c r="S92" s="72"/>
    </row>
    <row r="93" spans="1:19" ht="21.75">
      <c r="A93" s="302"/>
      <c r="B93" s="303"/>
      <c r="C93" s="414" t="s">
        <v>802</v>
      </c>
      <c r="D93" s="54"/>
      <c r="E93" s="54"/>
      <c r="F93" s="54"/>
      <c r="L93" s="1520">
        <v>300</v>
      </c>
      <c r="M93" s="186" t="s">
        <v>20</v>
      </c>
      <c r="N93" s="310"/>
      <c r="O93" s="110">
        <v>800</v>
      </c>
      <c r="P93" s="391">
        <f>L93*O93</f>
        <v>240000</v>
      </c>
      <c r="Q93" s="392"/>
      <c r="R93" s="392"/>
      <c r="S93" s="72"/>
    </row>
    <row r="94" spans="1:19" ht="21.75">
      <c r="A94" s="302"/>
      <c r="B94" s="303"/>
      <c r="C94" s="414" t="s">
        <v>803</v>
      </c>
      <c r="D94" s="54"/>
      <c r="E94" s="54"/>
      <c r="F94" s="54"/>
      <c r="L94" s="110">
        <v>300</v>
      </c>
      <c r="M94" s="186" t="s">
        <v>20</v>
      </c>
      <c r="N94" s="310"/>
      <c r="O94" s="110">
        <v>800</v>
      </c>
      <c r="P94" s="391">
        <f>L94*O94</f>
        <v>240000</v>
      </c>
      <c r="Q94" s="392"/>
      <c r="R94" s="392"/>
      <c r="S94" s="72"/>
    </row>
    <row r="95" spans="1:19" ht="21.75">
      <c r="A95" s="302"/>
      <c r="B95" s="303"/>
      <c r="C95" s="414" t="s">
        <v>804</v>
      </c>
      <c r="D95" s="54"/>
      <c r="E95" s="54"/>
      <c r="F95" s="54"/>
      <c r="G95" s="108"/>
      <c r="H95" s="108"/>
      <c r="I95" s="108"/>
      <c r="J95" s="108"/>
      <c r="K95" s="108"/>
      <c r="L95" s="110">
        <v>12</v>
      </c>
      <c r="M95" s="186" t="s">
        <v>20</v>
      </c>
      <c r="N95" s="310"/>
      <c r="O95" s="110">
        <v>1000</v>
      </c>
      <c r="P95" s="391">
        <f>L95*O95</f>
        <v>12000</v>
      </c>
      <c r="Q95" s="392"/>
      <c r="R95" s="392"/>
      <c r="S95" s="72"/>
    </row>
    <row r="96" spans="1:19" ht="21.75">
      <c r="A96" s="302"/>
      <c r="B96" s="303"/>
      <c r="C96" s="415" t="s">
        <v>21</v>
      </c>
      <c r="D96" s="54"/>
      <c r="E96" s="54"/>
      <c r="F96" s="108"/>
      <c r="G96" s="108"/>
      <c r="H96" s="108"/>
      <c r="I96" s="108"/>
      <c r="J96" s="108"/>
      <c r="K96" s="108"/>
      <c r="L96" s="310"/>
      <c r="M96" s="1517"/>
      <c r="N96" s="310"/>
      <c r="O96" s="310"/>
      <c r="P96" s="391"/>
      <c r="Q96" s="392"/>
      <c r="R96" s="392"/>
      <c r="S96" s="72"/>
    </row>
    <row r="97" spans="1:19" ht="21.75">
      <c r="A97" s="302"/>
      <c r="B97" s="303"/>
      <c r="C97" s="414" t="s">
        <v>805</v>
      </c>
      <c r="D97" s="54"/>
      <c r="E97" s="54"/>
      <c r="F97" s="108"/>
      <c r="G97" s="108"/>
      <c r="H97" s="108"/>
      <c r="I97" s="108"/>
      <c r="J97" s="108"/>
      <c r="K97" s="108"/>
      <c r="L97" s="110">
        <v>12</v>
      </c>
      <c r="M97" s="186" t="s">
        <v>20</v>
      </c>
      <c r="N97" s="310"/>
      <c r="O97" s="110">
        <v>1000</v>
      </c>
      <c r="P97" s="391">
        <f>L97*O97</f>
        <v>12000</v>
      </c>
      <c r="Q97" s="392"/>
      <c r="R97" s="392"/>
      <c r="S97" s="72"/>
    </row>
    <row r="98" spans="1:19" ht="21.75">
      <c r="A98" s="302"/>
      <c r="B98" s="303"/>
      <c r="C98" s="414" t="s">
        <v>806</v>
      </c>
      <c r="D98" s="54"/>
      <c r="E98" s="54"/>
      <c r="F98" s="108"/>
      <c r="G98" s="108"/>
      <c r="H98" s="108"/>
      <c r="I98" s="108"/>
      <c r="J98" s="108"/>
      <c r="K98" s="108"/>
      <c r="L98" s="110">
        <v>12</v>
      </c>
      <c r="M98" s="186" t="s">
        <v>20</v>
      </c>
      <c r="N98" s="310"/>
      <c r="O98" s="110">
        <v>500</v>
      </c>
      <c r="P98" s="391">
        <f>L98*O98</f>
        <v>6000</v>
      </c>
      <c r="Q98" s="392"/>
      <c r="R98" s="392"/>
      <c r="S98" s="72"/>
    </row>
    <row r="99" spans="1:19" ht="21.75">
      <c r="A99" s="1096"/>
      <c r="B99" s="1097"/>
      <c r="C99" s="414" t="s">
        <v>807</v>
      </c>
      <c r="D99" s="54"/>
      <c r="E99" s="54"/>
      <c r="F99" s="108"/>
      <c r="G99" s="108"/>
      <c r="H99" s="108"/>
      <c r="I99" s="108"/>
      <c r="J99" s="108"/>
      <c r="K99" s="108"/>
      <c r="L99" s="110">
        <v>12</v>
      </c>
      <c r="M99" s="186" t="s">
        <v>20</v>
      </c>
      <c r="N99" s="310"/>
      <c r="O99" s="110">
        <v>500</v>
      </c>
      <c r="P99" s="391">
        <f>L99*O99</f>
        <v>6000</v>
      </c>
      <c r="Q99" s="392"/>
      <c r="R99" s="392"/>
      <c r="S99" s="72"/>
    </row>
    <row r="100" spans="1:19">
      <c r="A100" s="204"/>
      <c r="B100" s="204"/>
      <c r="C100" s="204"/>
      <c r="D100" s="204"/>
      <c r="N100" s="377"/>
      <c r="P100" s="1"/>
    </row>
    <row r="101" spans="1:19" s="1173" customFormat="1">
      <c r="C101" s="347" t="s">
        <v>171</v>
      </c>
      <c r="D101" s="29" t="s">
        <v>172</v>
      </c>
      <c r="E101" s="29"/>
      <c r="F101" s="2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68"/>
    </row>
    <row r="102" spans="1:19" s="1173" customFormat="1">
      <c r="D102" s="1173" t="s">
        <v>466</v>
      </c>
    </row>
  </sheetData>
  <mergeCells count="21">
    <mergeCell ref="R6:R9"/>
    <mergeCell ref="S6:S10"/>
    <mergeCell ref="P7:P10"/>
    <mergeCell ref="N7:N10"/>
    <mergeCell ref="O7:O10"/>
    <mergeCell ref="A1:S1"/>
    <mergeCell ref="A2:S2"/>
    <mergeCell ref="C57:E57"/>
    <mergeCell ref="H7:H10"/>
    <mergeCell ref="I7:K9"/>
    <mergeCell ref="L7:L10"/>
    <mergeCell ref="M7:M10"/>
    <mergeCell ref="S40:S42"/>
    <mergeCell ref="S43:S46"/>
    <mergeCell ref="S47:S51"/>
    <mergeCell ref="A6:B9"/>
    <mergeCell ref="C6:C9"/>
    <mergeCell ref="D6:E7"/>
    <mergeCell ref="F6:G7"/>
    <mergeCell ref="H6:P6"/>
    <mergeCell ref="Q6:Q9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249"/>
  <sheetViews>
    <sheetView topLeftCell="C6" zoomScale="120" zoomScaleNormal="120" zoomScaleSheetLayoutView="100" workbookViewId="0">
      <selection activeCell="P24" sqref="P24"/>
    </sheetView>
  </sheetViews>
  <sheetFormatPr defaultRowHeight="18.75"/>
  <cols>
    <col min="1" max="1" width="4.5" style="286" customWidth="1"/>
    <col min="2" max="2" width="5" style="286" customWidth="1"/>
    <col min="3" max="3" width="28.875" style="286" customWidth="1"/>
    <col min="4" max="7" width="6.125" style="286" customWidth="1"/>
    <col min="8" max="8" width="8.125" style="286" customWidth="1"/>
    <col min="9" max="11" width="5.625" style="286" customWidth="1"/>
    <col min="12" max="12" width="7.375" style="286" customWidth="1"/>
    <col min="13" max="13" width="8" style="286" customWidth="1"/>
    <col min="14" max="14" width="6.875" style="286" customWidth="1"/>
    <col min="15" max="15" width="8.375" style="286" customWidth="1"/>
    <col min="16" max="16" width="11.375" style="1173" customWidth="1"/>
    <col min="17" max="17" width="7.75" style="286" customWidth="1"/>
    <col min="18" max="18" width="7.625" style="286" customWidth="1"/>
    <col min="19" max="19" width="34" style="286" customWidth="1"/>
    <col min="20" max="254" width="9" style="286"/>
    <col min="255" max="255" width="4.5" style="286" customWidth="1"/>
    <col min="256" max="256" width="5" style="286" customWidth="1"/>
    <col min="257" max="257" width="28.875" style="286" customWidth="1"/>
    <col min="258" max="261" width="8.375" style="286" customWidth="1"/>
    <col min="262" max="262" width="9.75" style="286" customWidth="1"/>
    <col min="263" max="263" width="6.625" style="286" customWidth="1"/>
    <col min="264" max="264" width="7" style="286" customWidth="1"/>
    <col min="265" max="265" width="5.25" style="286" customWidth="1"/>
    <col min="266" max="266" width="7.375" style="286" customWidth="1"/>
    <col min="267" max="267" width="8" style="286" customWidth="1"/>
    <col min="268" max="268" width="6.875" style="286" customWidth="1"/>
    <col min="269" max="269" width="8.375" style="286" customWidth="1"/>
    <col min="270" max="270" width="11.375" style="286" customWidth="1"/>
    <col min="271" max="271" width="7.75" style="286" customWidth="1"/>
    <col min="272" max="272" width="7.625" style="286" customWidth="1"/>
    <col min="273" max="273" width="34" style="286" customWidth="1"/>
    <col min="274" max="274" width="19.125" style="286" customWidth="1"/>
    <col min="275" max="275" width="8.75" style="286" bestFit="1" customWidth="1"/>
    <col min="276" max="510" width="9" style="286"/>
    <col min="511" max="511" width="4.5" style="286" customWidth="1"/>
    <col min="512" max="512" width="5" style="286" customWidth="1"/>
    <col min="513" max="513" width="28.875" style="286" customWidth="1"/>
    <col min="514" max="517" width="8.375" style="286" customWidth="1"/>
    <col min="518" max="518" width="9.75" style="286" customWidth="1"/>
    <col min="519" max="519" width="6.625" style="286" customWidth="1"/>
    <col min="520" max="520" width="7" style="286" customWidth="1"/>
    <col min="521" max="521" width="5.25" style="286" customWidth="1"/>
    <col min="522" max="522" width="7.375" style="286" customWidth="1"/>
    <col min="523" max="523" width="8" style="286" customWidth="1"/>
    <col min="524" max="524" width="6.875" style="286" customWidth="1"/>
    <col min="525" max="525" width="8.375" style="286" customWidth="1"/>
    <col min="526" max="526" width="11.375" style="286" customWidth="1"/>
    <col min="527" max="527" width="7.75" style="286" customWidth="1"/>
    <col min="528" max="528" width="7.625" style="286" customWidth="1"/>
    <col min="529" max="529" width="34" style="286" customWidth="1"/>
    <col min="530" max="530" width="19.125" style="286" customWidth="1"/>
    <col min="531" max="531" width="8.75" style="286" bestFit="1" customWidth="1"/>
    <col min="532" max="766" width="9" style="286"/>
    <col min="767" max="767" width="4.5" style="286" customWidth="1"/>
    <col min="768" max="768" width="5" style="286" customWidth="1"/>
    <col min="769" max="769" width="28.875" style="286" customWidth="1"/>
    <col min="770" max="773" width="8.375" style="286" customWidth="1"/>
    <col min="774" max="774" width="9.75" style="286" customWidth="1"/>
    <col min="775" max="775" width="6.625" style="286" customWidth="1"/>
    <col min="776" max="776" width="7" style="286" customWidth="1"/>
    <col min="777" max="777" width="5.25" style="286" customWidth="1"/>
    <col min="778" max="778" width="7.375" style="286" customWidth="1"/>
    <col min="779" max="779" width="8" style="286" customWidth="1"/>
    <col min="780" max="780" width="6.875" style="286" customWidth="1"/>
    <col min="781" max="781" width="8.375" style="286" customWidth="1"/>
    <col min="782" max="782" width="11.375" style="286" customWidth="1"/>
    <col min="783" max="783" width="7.75" style="286" customWidth="1"/>
    <col min="784" max="784" width="7.625" style="286" customWidth="1"/>
    <col min="785" max="785" width="34" style="286" customWidth="1"/>
    <col min="786" max="786" width="19.125" style="286" customWidth="1"/>
    <col min="787" max="787" width="8.75" style="286" bestFit="1" customWidth="1"/>
    <col min="788" max="1022" width="9" style="286"/>
    <col min="1023" max="1023" width="4.5" style="286" customWidth="1"/>
    <col min="1024" max="1024" width="5" style="286" customWidth="1"/>
    <col min="1025" max="1025" width="28.875" style="286" customWidth="1"/>
    <col min="1026" max="1029" width="8.375" style="286" customWidth="1"/>
    <col min="1030" max="1030" width="9.75" style="286" customWidth="1"/>
    <col min="1031" max="1031" width="6.625" style="286" customWidth="1"/>
    <col min="1032" max="1032" width="7" style="286" customWidth="1"/>
    <col min="1033" max="1033" width="5.25" style="286" customWidth="1"/>
    <col min="1034" max="1034" width="7.375" style="286" customWidth="1"/>
    <col min="1035" max="1035" width="8" style="286" customWidth="1"/>
    <col min="1036" max="1036" width="6.875" style="286" customWidth="1"/>
    <col min="1037" max="1037" width="8.375" style="286" customWidth="1"/>
    <col min="1038" max="1038" width="11.375" style="286" customWidth="1"/>
    <col min="1039" max="1039" width="7.75" style="286" customWidth="1"/>
    <col min="1040" max="1040" width="7.625" style="286" customWidth="1"/>
    <col min="1041" max="1041" width="34" style="286" customWidth="1"/>
    <col min="1042" max="1042" width="19.125" style="286" customWidth="1"/>
    <col min="1043" max="1043" width="8.75" style="286" bestFit="1" customWidth="1"/>
    <col min="1044" max="1278" width="9" style="286"/>
    <col min="1279" max="1279" width="4.5" style="286" customWidth="1"/>
    <col min="1280" max="1280" width="5" style="286" customWidth="1"/>
    <col min="1281" max="1281" width="28.875" style="286" customWidth="1"/>
    <col min="1282" max="1285" width="8.375" style="286" customWidth="1"/>
    <col min="1286" max="1286" width="9.75" style="286" customWidth="1"/>
    <col min="1287" max="1287" width="6.625" style="286" customWidth="1"/>
    <col min="1288" max="1288" width="7" style="286" customWidth="1"/>
    <col min="1289" max="1289" width="5.25" style="286" customWidth="1"/>
    <col min="1290" max="1290" width="7.375" style="286" customWidth="1"/>
    <col min="1291" max="1291" width="8" style="286" customWidth="1"/>
    <col min="1292" max="1292" width="6.875" style="286" customWidth="1"/>
    <col min="1293" max="1293" width="8.375" style="286" customWidth="1"/>
    <col min="1294" max="1294" width="11.375" style="286" customWidth="1"/>
    <col min="1295" max="1295" width="7.75" style="286" customWidth="1"/>
    <col min="1296" max="1296" width="7.625" style="286" customWidth="1"/>
    <col min="1297" max="1297" width="34" style="286" customWidth="1"/>
    <col min="1298" max="1298" width="19.125" style="286" customWidth="1"/>
    <col min="1299" max="1299" width="8.75" style="286" bestFit="1" customWidth="1"/>
    <col min="1300" max="1534" width="9" style="286"/>
    <col min="1535" max="1535" width="4.5" style="286" customWidth="1"/>
    <col min="1536" max="1536" width="5" style="286" customWidth="1"/>
    <col min="1537" max="1537" width="28.875" style="286" customWidth="1"/>
    <col min="1538" max="1541" width="8.375" style="286" customWidth="1"/>
    <col min="1542" max="1542" width="9.75" style="286" customWidth="1"/>
    <col min="1543" max="1543" width="6.625" style="286" customWidth="1"/>
    <col min="1544" max="1544" width="7" style="286" customWidth="1"/>
    <col min="1545" max="1545" width="5.25" style="286" customWidth="1"/>
    <col min="1546" max="1546" width="7.375" style="286" customWidth="1"/>
    <col min="1547" max="1547" width="8" style="286" customWidth="1"/>
    <col min="1548" max="1548" width="6.875" style="286" customWidth="1"/>
    <col min="1549" max="1549" width="8.375" style="286" customWidth="1"/>
    <col min="1550" max="1550" width="11.375" style="286" customWidth="1"/>
    <col min="1551" max="1551" width="7.75" style="286" customWidth="1"/>
    <col min="1552" max="1552" width="7.625" style="286" customWidth="1"/>
    <col min="1553" max="1553" width="34" style="286" customWidth="1"/>
    <col min="1554" max="1554" width="19.125" style="286" customWidth="1"/>
    <col min="1555" max="1555" width="8.75" style="286" bestFit="1" customWidth="1"/>
    <col min="1556" max="1790" width="9" style="286"/>
    <col min="1791" max="1791" width="4.5" style="286" customWidth="1"/>
    <col min="1792" max="1792" width="5" style="286" customWidth="1"/>
    <col min="1793" max="1793" width="28.875" style="286" customWidth="1"/>
    <col min="1794" max="1797" width="8.375" style="286" customWidth="1"/>
    <col min="1798" max="1798" width="9.75" style="286" customWidth="1"/>
    <col min="1799" max="1799" width="6.625" style="286" customWidth="1"/>
    <col min="1800" max="1800" width="7" style="286" customWidth="1"/>
    <col min="1801" max="1801" width="5.25" style="286" customWidth="1"/>
    <col min="1802" max="1802" width="7.375" style="286" customWidth="1"/>
    <col min="1803" max="1803" width="8" style="286" customWidth="1"/>
    <col min="1804" max="1804" width="6.875" style="286" customWidth="1"/>
    <col min="1805" max="1805" width="8.375" style="286" customWidth="1"/>
    <col min="1806" max="1806" width="11.375" style="286" customWidth="1"/>
    <col min="1807" max="1807" width="7.75" style="286" customWidth="1"/>
    <col min="1808" max="1808" width="7.625" style="286" customWidth="1"/>
    <col min="1809" max="1809" width="34" style="286" customWidth="1"/>
    <col min="1810" max="1810" width="19.125" style="286" customWidth="1"/>
    <col min="1811" max="1811" width="8.75" style="286" bestFit="1" customWidth="1"/>
    <col min="1812" max="2046" width="9" style="286"/>
    <col min="2047" max="2047" width="4.5" style="286" customWidth="1"/>
    <col min="2048" max="2048" width="5" style="286" customWidth="1"/>
    <col min="2049" max="2049" width="28.875" style="286" customWidth="1"/>
    <col min="2050" max="2053" width="8.375" style="286" customWidth="1"/>
    <col min="2054" max="2054" width="9.75" style="286" customWidth="1"/>
    <col min="2055" max="2055" width="6.625" style="286" customWidth="1"/>
    <col min="2056" max="2056" width="7" style="286" customWidth="1"/>
    <col min="2057" max="2057" width="5.25" style="286" customWidth="1"/>
    <col min="2058" max="2058" width="7.375" style="286" customWidth="1"/>
    <col min="2059" max="2059" width="8" style="286" customWidth="1"/>
    <col min="2060" max="2060" width="6.875" style="286" customWidth="1"/>
    <col min="2061" max="2061" width="8.375" style="286" customWidth="1"/>
    <col min="2062" max="2062" width="11.375" style="286" customWidth="1"/>
    <col min="2063" max="2063" width="7.75" style="286" customWidth="1"/>
    <col min="2064" max="2064" width="7.625" style="286" customWidth="1"/>
    <col min="2065" max="2065" width="34" style="286" customWidth="1"/>
    <col min="2066" max="2066" width="19.125" style="286" customWidth="1"/>
    <col min="2067" max="2067" width="8.75" style="286" bestFit="1" customWidth="1"/>
    <col min="2068" max="2302" width="9" style="286"/>
    <col min="2303" max="2303" width="4.5" style="286" customWidth="1"/>
    <col min="2304" max="2304" width="5" style="286" customWidth="1"/>
    <col min="2305" max="2305" width="28.875" style="286" customWidth="1"/>
    <col min="2306" max="2309" width="8.375" style="286" customWidth="1"/>
    <col min="2310" max="2310" width="9.75" style="286" customWidth="1"/>
    <col min="2311" max="2311" width="6.625" style="286" customWidth="1"/>
    <col min="2312" max="2312" width="7" style="286" customWidth="1"/>
    <col min="2313" max="2313" width="5.25" style="286" customWidth="1"/>
    <col min="2314" max="2314" width="7.375" style="286" customWidth="1"/>
    <col min="2315" max="2315" width="8" style="286" customWidth="1"/>
    <col min="2316" max="2316" width="6.875" style="286" customWidth="1"/>
    <col min="2317" max="2317" width="8.375" style="286" customWidth="1"/>
    <col min="2318" max="2318" width="11.375" style="286" customWidth="1"/>
    <col min="2319" max="2319" width="7.75" style="286" customWidth="1"/>
    <col min="2320" max="2320" width="7.625" style="286" customWidth="1"/>
    <col min="2321" max="2321" width="34" style="286" customWidth="1"/>
    <col min="2322" max="2322" width="19.125" style="286" customWidth="1"/>
    <col min="2323" max="2323" width="8.75" style="286" bestFit="1" customWidth="1"/>
    <col min="2324" max="2558" width="9" style="286"/>
    <col min="2559" max="2559" width="4.5" style="286" customWidth="1"/>
    <col min="2560" max="2560" width="5" style="286" customWidth="1"/>
    <col min="2561" max="2561" width="28.875" style="286" customWidth="1"/>
    <col min="2562" max="2565" width="8.375" style="286" customWidth="1"/>
    <col min="2566" max="2566" width="9.75" style="286" customWidth="1"/>
    <col min="2567" max="2567" width="6.625" style="286" customWidth="1"/>
    <col min="2568" max="2568" width="7" style="286" customWidth="1"/>
    <col min="2569" max="2569" width="5.25" style="286" customWidth="1"/>
    <col min="2570" max="2570" width="7.375" style="286" customWidth="1"/>
    <col min="2571" max="2571" width="8" style="286" customWidth="1"/>
    <col min="2572" max="2572" width="6.875" style="286" customWidth="1"/>
    <col min="2573" max="2573" width="8.375" style="286" customWidth="1"/>
    <col min="2574" max="2574" width="11.375" style="286" customWidth="1"/>
    <col min="2575" max="2575" width="7.75" style="286" customWidth="1"/>
    <col min="2576" max="2576" width="7.625" style="286" customWidth="1"/>
    <col min="2577" max="2577" width="34" style="286" customWidth="1"/>
    <col min="2578" max="2578" width="19.125" style="286" customWidth="1"/>
    <col min="2579" max="2579" width="8.75" style="286" bestFit="1" customWidth="1"/>
    <col min="2580" max="2814" width="9" style="286"/>
    <col min="2815" max="2815" width="4.5" style="286" customWidth="1"/>
    <col min="2816" max="2816" width="5" style="286" customWidth="1"/>
    <col min="2817" max="2817" width="28.875" style="286" customWidth="1"/>
    <col min="2818" max="2821" width="8.375" style="286" customWidth="1"/>
    <col min="2822" max="2822" width="9.75" style="286" customWidth="1"/>
    <col min="2823" max="2823" width="6.625" style="286" customWidth="1"/>
    <col min="2824" max="2824" width="7" style="286" customWidth="1"/>
    <col min="2825" max="2825" width="5.25" style="286" customWidth="1"/>
    <col min="2826" max="2826" width="7.375" style="286" customWidth="1"/>
    <col min="2827" max="2827" width="8" style="286" customWidth="1"/>
    <col min="2828" max="2828" width="6.875" style="286" customWidth="1"/>
    <col min="2829" max="2829" width="8.375" style="286" customWidth="1"/>
    <col min="2830" max="2830" width="11.375" style="286" customWidth="1"/>
    <col min="2831" max="2831" width="7.75" style="286" customWidth="1"/>
    <col min="2832" max="2832" width="7.625" style="286" customWidth="1"/>
    <col min="2833" max="2833" width="34" style="286" customWidth="1"/>
    <col min="2834" max="2834" width="19.125" style="286" customWidth="1"/>
    <col min="2835" max="2835" width="8.75" style="286" bestFit="1" customWidth="1"/>
    <col min="2836" max="3070" width="9" style="286"/>
    <col min="3071" max="3071" width="4.5" style="286" customWidth="1"/>
    <col min="3072" max="3072" width="5" style="286" customWidth="1"/>
    <col min="3073" max="3073" width="28.875" style="286" customWidth="1"/>
    <col min="3074" max="3077" width="8.375" style="286" customWidth="1"/>
    <col min="3078" max="3078" width="9.75" style="286" customWidth="1"/>
    <col min="3079" max="3079" width="6.625" style="286" customWidth="1"/>
    <col min="3080" max="3080" width="7" style="286" customWidth="1"/>
    <col min="3081" max="3081" width="5.25" style="286" customWidth="1"/>
    <col min="3082" max="3082" width="7.375" style="286" customWidth="1"/>
    <col min="3083" max="3083" width="8" style="286" customWidth="1"/>
    <col min="3084" max="3084" width="6.875" style="286" customWidth="1"/>
    <col min="3085" max="3085" width="8.375" style="286" customWidth="1"/>
    <col min="3086" max="3086" width="11.375" style="286" customWidth="1"/>
    <col min="3087" max="3087" width="7.75" style="286" customWidth="1"/>
    <col min="3088" max="3088" width="7.625" style="286" customWidth="1"/>
    <col min="3089" max="3089" width="34" style="286" customWidth="1"/>
    <col min="3090" max="3090" width="19.125" style="286" customWidth="1"/>
    <col min="3091" max="3091" width="8.75" style="286" bestFit="1" customWidth="1"/>
    <col min="3092" max="3326" width="9" style="286"/>
    <col min="3327" max="3327" width="4.5" style="286" customWidth="1"/>
    <col min="3328" max="3328" width="5" style="286" customWidth="1"/>
    <col min="3329" max="3329" width="28.875" style="286" customWidth="1"/>
    <col min="3330" max="3333" width="8.375" style="286" customWidth="1"/>
    <col min="3334" max="3334" width="9.75" style="286" customWidth="1"/>
    <col min="3335" max="3335" width="6.625" style="286" customWidth="1"/>
    <col min="3336" max="3336" width="7" style="286" customWidth="1"/>
    <col min="3337" max="3337" width="5.25" style="286" customWidth="1"/>
    <col min="3338" max="3338" width="7.375" style="286" customWidth="1"/>
    <col min="3339" max="3339" width="8" style="286" customWidth="1"/>
    <col min="3340" max="3340" width="6.875" style="286" customWidth="1"/>
    <col min="3341" max="3341" width="8.375" style="286" customWidth="1"/>
    <col min="3342" max="3342" width="11.375" style="286" customWidth="1"/>
    <col min="3343" max="3343" width="7.75" style="286" customWidth="1"/>
    <col min="3344" max="3344" width="7.625" style="286" customWidth="1"/>
    <col min="3345" max="3345" width="34" style="286" customWidth="1"/>
    <col min="3346" max="3346" width="19.125" style="286" customWidth="1"/>
    <col min="3347" max="3347" width="8.75" style="286" bestFit="1" customWidth="1"/>
    <col min="3348" max="3582" width="9" style="286"/>
    <col min="3583" max="3583" width="4.5" style="286" customWidth="1"/>
    <col min="3584" max="3584" width="5" style="286" customWidth="1"/>
    <col min="3585" max="3585" width="28.875" style="286" customWidth="1"/>
    <col min="3586" max="3589" width="8.375" style="286" customWidth="1"/>
    <col min="3590" max="3590" width="9.75" style="286" customWidth="1"/>
    <col min="3591" max="3591" width="6.625" style="286" customWidth="1"/>
    <col min="3592" max="3592" width="7" style="286" customWidth="1"/>
    <col min="3593" max="3593" width="5.25" style="286" customWidth="1"/>
    <col min="3594" max="3594" width="7.375" style="286" customWidth="1"/>
    <col min="3595" max="3595" width="8" style="286" customWidth="1"/>
    <col min="3596" max="3596" width="6.875" style="286" customWidth="1"/>
    <col min="3597" max="3597" width="8.375" style="286" customWidth="1"/>
    <col min="3598" max="3598" width="11.375" style="286" customWidth="1"/>
    <col min="3599" max="3599" width="7.75" style="286" customWidth="1"/>
    <col min="3600" max="3600" width="7.625" style="286" customWidth="1"/>
    <col min="3601" max="3601" width="34" style="286" customWidth="1"/>
    <col min="3602" max="3602" width="19.125" style="286" customWidth="1"/>
    <col min="3603" max="3603" width="8.75" style="286" bestFit="1" customWidth="1"/>
    <col min="3604" max="3838" width="9" style="286"/>
    <col min="3839" max="3839" width="4.5" style="286" customWidth="1"/>
    <col min="3840" max="3840" width="5" style="286" customWidth="1"/>
    <col min="3841" max="3841" width="28.875" style="286" customWidth="1"/>
    <col min="3842" max="3845" width="8.375" style="286" customWidth="1"/>
    <col min="3846" max="3846" width="9.75" style="286" customWidth="1"/>
    <col min="3847" max="3847" width="6.625" style="286" customWidth="1"/>
    <col min="3848" max="3848" width="7" style="286" customWidth="1"/>
    <col min="3849" max="3849" width="5.25" style="286" customWidth="1"/>
    <col min="3850" max="3850" width="7.375" style="286" customWidth="1"/>
    <col min="3851" max="3851" width="8" style="286" customWidth="1"/>
    <col min="3852" max="3852" width="6.875" style="286" customWidth="1"/>
    <col min="3853" max="3853" width="8.375" style="286" customWidth="1"/>
    <col min="3854" max="3854" width="11.375" style="286" customWidth="1"/>
    <col min="3855" max="3855" width="7.75" style="286" customWidth="1"/>
    <col min="3856" max="3856" width="7.625" style="286" customWidth="1"/>
    <col min="3857" max="3857" width="34" style="286" customWidth="1"/>
    <col min="3858" max="3858" width="19.125" style="286" customWidth="1"/>
    <col min="3859" max="3859" width="8.75" style="286" bestFit="1" customWidth="1"/>
    <col min="3860" max="4094" width="9" style="286"/>
    <col min="4095" max="4095" width="4.5" style="286" customWidth="1"/>
    <col min="4096" max="4096" width="5" style="286" customWidth="1"/>
    <col min="4097" max="4097" width="28.875" style="286" customWidth="1"/>
    <col min="4098" max="4101" width="8.375" style="286" customWidth="1"/>
    <col min="4102" max="4102" width="9.75" style="286" customWidth="1"/>
    <col min="4103" max="4103" width="6.625" style="286" customWidth="1"/>
    <col min="4104" max="4104" width="7" style="286" customWidth="1"/>
    <col min="4105" max="4105" width="5.25" style="286" customWidth="1"/>
    <col min="4106" max="4106" width="7.375" style="286" customWidth="1"/>
    <col min="4107" max="4107" width="8" style="286" customWidth="1"/>
    <col min="4108" max="4108" width="6.875" style="286" customWidth="1"/>
    <col min="4109" max="4109" width="8.375" style="286" customWidth="1"/>
    <col min="4110" max="4110" width="11.375" style="286" customWidth="1"/>
    <col min="4111" max="4111" width="7.75" style="286" customWidth="1"/>
    <col min="4112" max="4112" width="7.625" style="286" customWidth="1"/>
    <col min="4113" max="4113" width="34" style="286" customWidth="1"/>
    <col min="4114" max="4114" width="19.125" style="286" customWidth="1"/>
    <col min="4115" max="4115" width="8.75" style="286" bestFit="1" customWidth="1"/>
    <col min="4116" max="4350" width="9" style="286"/>
    <col min="4351" max="4351" width="4.5" style="286" customWidth="1"/>
    <col min="4352" max="4352" width="5" style="286" customWidth="1"/>
    <col min="4353" max="4353" width="28.875" style="286" customWidth="1"/>
    <col min="4354" max="4357" width="8.375" style="286" customWidth="1"/>
    <col min="4358" max="4358" width="9.75" style="286" customWidth="1"/>
    <col min="4359" max="4359" width="6.625" style="286" customWidth="1"/>
    <col min="4360" max="4360" width="7" style="286" customWidth="1"/>
    <col min="4361" max="4361" width="5.25" style="286" customWidth="1"/>
    <col min="4362" max="4362" width="7.375" style="286" customWidth="1"/>
    <col min="4363" max="4363" width="8" style="286" customWidth="1"/>
    <col min="4364" max="4364" width="6.875" style="286" customWidth="1"/>
    <col min="4365" max="4365" width="8.375" style="286" customWidth="1"/>
    <col min="4366" max="4366" width="11.375" style="286" customWidth="1"/>
    <col min="4367" max="4367" width="7.75" style="286" customWidth="1"/>
    <col min="4368" max="4368" width="7.625" style="286" customWidth="1"/>
    <col min="4369" max="4369" width="34" style="286" customWidth="1"/>
    <col min="4370" max="4370" width="19.125" style="286" customWidth="1"/>
    <col min="4371" max="4371" width="8.75" style="286" bestFit="1" customWidth="1"/>
    <col min="4372" max="4606" width="9" style="286"/>
    <col min="4607" max="4607" width="4.5" style="286" customWidth="1"/>
    <col min="4608" max="4608" width="5" style="286" customWidth="1"/>
    <col min="4609" max="4609" width="28.875" style="286" customWidth="1"/>
    <col min="4610" max="4613" width="8.375" style="286" customWidth="1"/>
    <col min="4614" max="4614" width="9.75" style="286" customWidth="1"/>
    <col min="4615" max="4615" width="6.625" style="286" customWidth="1"/>
    <col min="4616" max="4616" width="7" style="286" customWidth="1"/>
    <col min="4617" max="4617" width="5.25" style="286" customWidth="1"/>
    <col min="4618" max="4618" width="7.375" style="286" customWidth="1"/>
    <col min="4619" max="4619" width="8" style="286" customWidth="1"/>
    <col min="4620" max="4620" width="6.875" style="286" customWidth="1"/>
    <col min="4621" max="4621" width="8.375" style="286" customWidth="1"/>
    <col min="4622" max="4622" width="11.375" style="286" customWidth="1"/>
    <col min="4623" max="4623" width="7.75" style="286" customWidth="1"/>
    <col min="4624" max="4624" width="7.625" style="286" customWidth="1"/>
    <col min="4625" max="4625" width="34" style="286" customWidth="1"/>
    <col min="4626" max="4626" width="19.125" style="286" customWidth="1"/>
    <col min="4627" max="4627" width="8.75" style="286" bestFit="1" customWidth="1"/>
    <col min="4628" max="4862" width="9" style="286"/>
    <col min="4863" max="4863" width="4.5" style="286" customWidth="1"/>
    <col min="4864" max="4864" width="5" style="286" customWidth="1"/>
    <col min="4865" max="4865" width="28.875" style="286" customWidth="1"/>
    <col min="4866" max="4869" width="8.375" style="286" customWidth="1"/>
    <col min="4870" max="4870" width="9.75" style="286" customWidth="1"/>
    <col min="4871" max="4871" width="6.625" style="286" customWidth="1"/>
    <col min="4872" max="4872" width="7" style="286" customWidth="1"/>
    <col min="4873" max="4873" width="5.25" style="286" customWidth="1"/>
    <col min="4874" max="4874" width="7.375" style="286" customWidth="1"/>
    <col min="4875" max="4875" width="8" style="286" customWidth="1"/>
    <col min="4876" max="4876" width="6.875" style="286" customWidth="1"/>
    <col min="4877" max="4877" width="8.375" style="286" customWidth="1"/>
    <col min="4878" max="4878" width="11.375" style="286" customWidth="1"/>
    <col min="4879" max="4879" width="7.75" style="286" customWidth="1"/>
    <col min="4880" max="4880" width="7.625" style="286" customWidth="1"/>
    <col min="4881" max="4881" width="34" style="286" customWidth="1"/>
    <col min="4882" max="4882" width="19.125" style="286" customWidth="1"/>
    <col min="4883" max="4883" width="8.75" style="286" bestFit="1" customWidth="1"/>
    <col min="4884" max="5118" width="9" style="286"/>
    <col min="5119" max="5119" width="4.5" style="286" customWidth="1"/>
    <col min="5120" max="5120" width="5" style="286" customWidth="1"/>
    <col min="5121" max="5121" width="28.875" style="286" customWidth="1"/>
    <col min="5122" max="5125" width="8.375" style="286" customWidth="1"/>
    <col min="5126" max="5126" width="9.75" style="286" customWidth="1"/>
    <col min="5127" max="5127" width="6.625" style="286" customWidth="1"/>
    <col min="5128" max="5128" width="7" style="286" customWidth="1"/>
    <col min="5129" max="5129" width="5.25" style="286" customWidth="1"/>
    <col min="5130" max="5130" width="7.375" style="286" customWidth="1"/>
    <col min="5131" max="5131" width="8" style="286" customWidth="1"/>
    <col min="5132" max="5132" width="6.875" style="286" customWidth="1"/>
    <col min="5133" max="5133" width="8.375" style="286" customWidth="1"/>
    <col min="5134" max="5134" width="11.375" style="286" customWidth="1"/>
    <col min="5135" max="5135" width="7.75" style="286" customWidth="1"/>
    <col min="5136" max="5136" width="7.625" style="286" customWidth="1"/>
    <col min="5137" max="5137" width="34" style="286" customWidth="1"/>
    <col min="5138" max="5138" width="19.125" style="286" customWidth="1"/>
    <col min="5139" max="5139" width="8.75" style="286" bestFit="1" customWidth="1"/>
    <col min="5140" max="5374" width="9" style="286"/>
    <col min="5375" max="5375" width="4.5" style="286" customWidth="1"/>
    <col min="5376" max="5376" width="5" style="286" customWidth="1"/>
    <col min="5377" max="5377" width="28.875" style="286" customWidth="1"/>
    <col min="5378" max="5381" width="8.375" style="286" customWidth="1"/>
    <col min="5382" max="5382" width="9.75" style="286" customWidth="1"/>
    <col min="5383" max="5383" width="6.625" style="286" customWidth="1"/>
    <col min="5384" max="5384" width="7" style="286" customWidth="1"/>
    <col min="5385" max="5385" width="5.25" style="286" customWidth="1"/>
    <col min="5386" max="5386" width="7.375" style="286" customWidth="1"/>
    <col min="5387" max="5387" width="8" style="286" customWidth="1"/>
    <col min="5388" max="5388" width="6.875" style="286" customWidth="1"/>
    <col min="5389" max="5389" width="8.375" style="286" customWidth="1"/>
    <col min="5390" max="5390" width="11.375" style="286" customWidth="1"/>
    <col min="5391" max="5391" width="7.75" style="286" customWidth="1"/>
    <col min="5392" max="5392" width="7.625" style="286" customWidth="1"/>
    <col min="5393" max="5393" width="34" style="286" customWidth="1"/>
    <col min="5394" max="5394" width="19.125" style="286" customWidth="1"/>
    <col min="5395" max="5395" width="8.75" style="286" bestFit="1" customWidth="1"/>
    <col min="5396" max="5630" width="9" style="286"/>
    <col min="5631" max="5631" width="4.5" style="286" customWidth="1"/>
    <col min="5632" max="5632" width="5" style="286" customWidth="1"/>
    <col min="5633" max="5633" width="28.875" style="286" customWidth="1"/>
    <col min="5634" max="5637" width="8.375" style="286" customWidth="1"/>
    <col min="5638" max="5638" width="9.75" style="286" customWidth="1"/>
    <col min="5639" max="5639" width="6.625" style="286" customWidth="1"/>
    <col min="5640" max="5640" width="7" style="286" customWidth="1"/>
    <col min="5641" max="5641" width="5.25" style="286" customWidth="1"/>
    <col min="5642" max="5642" width="7.375" style="286" customWidth="1"/>
    <col min="5643" max="5643" width="8" style="286" customWidth="1"/>
    <col min="5644" max="5644" width="6.875" style="286" customWidth="1"/>
    <col min="5645" max="5645" width="8.375" style="286" customWidth="1"/>
    <col min="5646" max="5646" width="11.375" style="286" customWidth="1"/>
    <col min="5647" max="5647" width="7.75" style="286" customWidth="1"/>
    <col min="5648" max="5648" width="7.625" style="286" customWidth="1"/>
    <col min="5649" max="5649" width="34" style="286" customWidth="1"/>
    <col min="5650" max="5650" width="19.125" style="286" customWidth="1"/>
    <col min="5651" max="5651" width="8.75" style="286" bestFit="1" customWidth="1"/>
    <col min="5652" max="5886" width="9" style="286"/>
    <col min="5887" max="5887" width="4.5" style="286" customWidth="1"/>
    <col min="5888" max="5888" width="5" style="286" customWidth="1"/>
    <col min="5889" max="5889" width="28.875" style="286" customWidth="1"/>
    <col min="5890" max="5893" width="8.375" style="286" customWidth="1"/>
    <col min="5894" max="5894" width="9.75" style="286" customWidth="1"/>
    <col min="5895" max="5895" width="6.625" style="286" customWidth="1"/>
    <col min="5896" max="5896" width="7" style="286" customWidth="1"/>
    <col min="5897" max="5897" width="5.25" style="286" customWidth="1"/>
    <col min="5898" max="5898" width="7.375" style="286" customWidth="1"/>
    <col min="5899" max="5899" width="8" style="286" customWidth="1"/>
    <col min="5900" max="5900" width="6.875" style="286" customWidth="1"/>
    <col min="5901" max="5901" width="8.375" style="286" customWidth="1"/>
    <col min="5902" max="5902" width="11.375" style="286" customWidth="1"/>
    <col min="5903" max="5903" width="7.75" style="286" customWidth="1"/>
    <col min="5904" max="5904" width="7.625" style="286" customWidth="1"/>
    <col min="5905" max="5905" width="34" style="286" customWidth="1"/>
    <col min="5906" max="5906" width="19.125" style="286" customWidth="1"/>
    <col min="5907" max="5907" width="8.75" style="286" bestFit="1" customWidth="1"/>
    <col min="5908" max="6142" width="9" style="286"/>
    <col min="6143" max="6143" width="4.5" style="286" customWidth="1"/>
    <col min="6144" max="6144" width="5" style="286" customWidth="1"/>
    <col min="6145" max="6145" width="28.875" style="286" customWidth="1"/>
    <col min="6146" max="6149" width="8.375" style="286" customWidth="1"/>
    <col min="6150" max="6150" width="9.75" style="286" customWidth="1"/>
    <col min="6151" max="6151" width="6.625" style="286" customWidth="1"/>
    <col min="6152" max="6152" width="7" style="286" customWidth="1"/>
    <col min="6153" max="6153" width="5.25" style="286" customWidth="1"/>
    <col min="6154" max="6154" width="7.375" style="286" customWidth="1"/>
    <col min="6155" max="6155" width="8" style="286" customWidth="1"/>
    <col min="6156" max="6156" width="6.875" style="286" customWidth="1"/>
    <col min="6157" max="6157" width="8.375" style="286" customWidth="1"/>
    <col min="6158" max="6158" width="11.375" style="286" customWidth="1"/>
    <col min="6159" max="6159" width="7.75" style="286" customWidth="1"/>
    <col min="6160" max="6160" width="7.625" style="286" customWidth="1"/>
    <col min="6161" max="6161" width="34" style="286" customWidth="1"/>
    <col min="6162" max="6162" width="19.125" style="286" customWidth="1"/>
    <col min="6163" max="6163" width="8.75" style="286" bestFit="1" customWidth="1"/>
    <col min="6164" max="6398" width="9" style="286"/>
    <col min="6399" max="6399" width="4.5" style="286" customWidth="1"/>
    <col min="6400" max="6400" width="5" style="286" customWidth="1"/>
    <col min="6401" max="6401" width="28.875" style="286" customWidth="1"/>
    <col min="6402" max="6405" width="8.375" style="286" customWidth="1"/>
    <col min="6406" max="6406" width="9.75" style="286" customWidth="1"/>
    <col min="6407" max="6407" width="6.625" style="286" customWidth="1"/>
    <col min="6408" max="6408" width="7" style="286" customWidth="1"/>
    <col min="6409" max="6409" width="5.25" style="286" customWidth="1"/>
    <col min="6410" max="6410" width="7.375" style="286" customWidth="1"/>
    <col min="6411" max="6411" width="8" style="286" customWidth="1"/>
    <col min="6412" max="6412" width="6.875" style="286" customWidth="1"/>
    <col min="6413" max="6413" width="8.375" style="286" customWidth="1"/>
    <col min="6414" max="6414" width="11.375" style="286" customWidth="1"/>
    <col min="6415" max="6415" width="7.75" style="286" customWidth="1"/>
    <col min="6416" max="6416" width="7.625" style="286" customWidth="1"/>
    <col min="6417" max="6417" width="34" style="286" customWidth="1"/>
    <col min="6418" max="6418" width="19.125" style="286" customWidth="1"/>
    <col min="6419" max="6419" width="8.75" style="286" bestFit="1" customWidth="1"/>
    <col min="6420" max="6654" width="9" style="286"/>
    <col min="6655" max="6655" width="4.5" style="286" customWidth="1"/>
    <col min="6656" max="6656" width="5" style="286" customWidth="1"/>
    <col min="6657" max="6657" width="28.875" style="286" customWidth="1"/>
    <col min="6658" max="6661" width="8.375" style="286" customWidth="1"/>
    <col min="6662" max="6662" width="9.75" style="286" customWidth="1"/>
    <col min="6663" max="6663" width="6.625" style="286" customWidth="1"/>
    <col min="6664" max="6664" width="7" style="286" customWidth="1"/>
    <col min="6665" max="6665" width="5.25" style="286" customWidth="1"/>
    <col min="6666" max="6666" width="7.375" style="286" customWidth="1"/>
    <col min="6667" max="6667" width="8" style="286" customWidth="1"/>
    <col min="6668" max="6668" width="6.875" style="286" customWidth="1"/>
    <col min="6669" max="6669" width="8.375" style="286" customWidth="1"/>
    <col min="6670" max="6670" width="11.375" style="286" customWidth="1"/>
    <col min="6671" max="6671" width="7.75" style="286" customWidth="1"/>
    <col min="6672" max="6672" width="7.625" style="286" customWidth="1"/>
    <col min="6673" max="6673" width="34" style="286" customWidth="1"/>
    <col min="6674" max="6674" width="19.125" style="286" customWidth="1"/>
    <col min="6675" max="6675" width="8.75" style="286" bestFit="1" customWidth="1"/>
    <col min="6676" max="6910" width="9" style="286"/>
    <col min="6911" max="6911" width="4.5" style="286" customWidth="1"/>
    <col min="6912" max="6912" width="5" style="286" customWidth="1"/>
    <col min="6913" max="6913" width="28.875" style="286" customWidth="1"/>
    <col min="6914" max="6917" width="8.375" style="286" customWidth="1"/>
    <col min="6918" max="6918" width="9.75" style="286" customWidth="1"/>
    <col min="6919" max="6919" width="6.625" style="286" customWidth="1"/>
    <col min="6920" max="6920" width="7" style="286" customWidth="1"/>
    <col min="6921" max="6921" width="5.25" style="286" customWidth="1"/>
    <col min="6922" max="6922" width="7.375" style="286" customWidth="1"/>
    <col min="6923" max="6923" width="8" style="286" customWidth="1"/>
    <col min="6924" max="6924" width="6.875" style="286" customWidth="1"/>
    <col min="6925" max="6925" width="8.375" style="286" customWidth="1"/>
    <col min="6926" max="6926" width="11.375" style="286" customWidth="1"/>
    <col min="6927" max="6927" width="7.75" style="286" customWidth="1"/>
    <col min="6928" max="6928" width="7.625" style="286" customWidth="1"/>
    <col min="6929" max="6929" width="34" style="286" customWidth="1"/>
    <col min="6930" max="6930" width="19.125" style="286" customWidth="1"/>
    <col min="6931" max="6931" width="8.75" style="286" bestFit="1" customWidth="1"/>
    <col min="6932" max="7166" width="9" style="286"/>
    <col min="7167" max="7167" width="4.5" style="286" customWidth="1"/>
    <col min="7168" max="7168" width="5" style="286" customWidth="1"/>
    <col min="7169" max="7169" width="28.875" style="286" customWidth="1"/>
    <col min="7170" max="7173" width="8.375" style="286" customWidth="1"/>
    <col min="7174" max="7174" width="9.75" style="286" customWidth="1"/>
    <col min="7175" max="7175" width="6.625" style="286" customWidth="1"/>
    <col min="7176" max="7176" width="7" style="286" customWidth="1"/>
    <col min="7177" max="7177" width="5.25" style="286" customWidth="1"/>
    <col min="7178" max="7178" width="7.375" style="286" customWidth="1"/>
    <col min="7179" max="7179" width="8" style="286" customWidth="1"/>
    <col min="7180" max="7180" width="6.875" style="286" customWidth="1"/>
    <col min="7181" max="7181" width="8.375" style="286" customWidth="1"/>
    <col min="7182" max="7182" width="11.375" style="286" customWidth="1"/>
    <col min="7183" max="7183" width="7.75" style="286" customWidth="1"/>
    <col min="7184" max="7184" width="7.625" style="286" customWidth="1"/>
    <col min="7185" max="7185" width="34" style="286" customWidth="1"/>
    <col min="7186" max="7186" width="19.125" style="286" customWidth="1"/>
    <col min="7187" max="7187" width="8.75" style="286" bestFit="1" customWidth="1"/>
    <col min="7188" max="7422" width="9" style="286"/>
    <col min="7423" max="7423" width="4.5" style="286" customWidth="1"/>
    <col min="7424" max="7424" width="5" style="286" customWidth="1"/>
    <col min="7425" max="7425" width="28.875" style="286" customWidth="1"/>
    <col min="7426" max="7429" width="8.375" style="286" customWidth="1"/>
    <col min="7430" max="7430" width="9.75" style="286" customWidth="1"/>
    <col min="7431" max="7431" width="6.625" style="286" customWidth="1"/>
    <col min="7432" max="7432" width="7" style="286" customWidth="1"/>
    <col min="7433" max="7433" width="5.25" style="286" customWidth="1"/>
    <col min="7434" max="7434" width="7.375" style="286" customWidth="1"/>
    <col min="7435" max="7435" width="8" style="286" customWidth="1"/>
    <col min="7436" max="7436" width="6.875" style="286" customWidth="1"/>
    <col min="7437" max="7437" width="8.375" style="286" customWidth="1"/>
    <col min="7438" max="7438" width="11.375" style="286" customWidth="1"/>
    <col min="7439" max="7439" width="7.75" style="286" customWidth="1"/>
    <col min="7440" max="7440" width="7.625" style="286" customWidth="1"/>
    <col min="7441" max="7441" width="34" style="286" customWidth="1"/>
    <col min="7442" max="7442" width="19.125" style="286" customWidth="1"/>
    <col min="7443" max="7443" width="8.75" style="286" bestFit="1" customWidth="1"/>
    <col min="7444" max="7678" width="9" style="286"/>
    <col min="7679" max="7679" width="4.5" style="286" customWidth="1"/>
    <col min="7680" max="7680" width="5" style="286" customWidth="1"/>
    <col min="7681" max="7681" width="28.875" style="286" customWidth="1"/>
    <col min="7682" max="7685" width="8.375" style="286" customWidth="1"/>
    <col min="7686" max="7686" width="9.75" style="286" customWidth="1"/>
    <col min="7687" max="7687" width="6.625" style="286" customWidth="1"/>
    <col min="7688" max="7688" width="7" style="286" customWidth="1"/>
    <col min="7689" max="7689" width="5.25" style="286" customWidth="1"/>
    <col min="7690" max="7690" width="7.375" style="286" customWidth="1"/>
    <col min="7691" max="7691" width="8" style="286" customWidth="1"/>
    <col min="7692" max="7692" width="6.875" style="286" customWidth="1"/>
    <col min="7693" max="7693" width="8.375" style="286" customWidth="1"/>
    <col min="7694" max="7694" width="11.375" style="286" customWidth="1"/>
    <col min="7695" max="7695" width="7.75" style="286" customWidth="1"/>
    <col min="7696" max="7696" width="7.625" style="286" customWidth="1"/>
    <col min="7697" max="7697" width="34" style="286" customWidth="1"/>
    <col min="7698" max="7698" width="19.125" style="286" customWidth="1"/>
    <col min="7699" max="7699" width="8.75" style="286" bestFit="1" customWidth="1"/>
    <col min="7700" max="7934" width="9" style="286"/>
    <col min="7935" max="7935" width="4.5" style="286" customWidth="1"/>
    <col min="7936" max="7936" width="5" style="286" customWidth="1"/>
    <col min="7937" max="7937" width="28.875" style="286" customWidth="1"/>
    <col min="7938" max="7941" width="8.375" style="286" customWidth="1"/>
    <col min="7942" max="7942" width="9.75" style="286" customWidth="1"/>
    <col min="7943" max="7943" width="6.625" style="286" customWidth="1"/>
    <col min="7944" max="7944" width="7" style="286" customWidth="1"/>
    <col min="7945" max="7945" width="5.25" style="286" customWidth="1"/>
    <col min="7946" max="7946" width="7.375" style="286" customWidth="1"/>
    <col min="7947" max="7947" width="8" style="286" customWidth="1"/>
    <col min="7948" max="7948" width="6.875" style="286" customWidth="1"/>
    <col min="7949" max="7949" width="8.375" style="286" customWidth="1"/>
    <col min="7950" max="7950" width="11.375" style="286" customWidth="1"/>
    <col min="7951" max="7951" width="7.75" style="286" customWidth="1"/>
    <col min="7952" max="7952" width="7.625" style="286" customWidth="1"/>
    <col min="7953" max="7953" width="34" style="286" customWidth="1"/>
    <col min="7954" max="7954" width="19.125" style="286" customWidth="1"/>
    <col min="7955" max="7955" width="8.75" style="286" bestFit="1" customWidth="1"/>
    <col min="7956" max="8190" width="9" style="286"/>
    <col min="8191" max="8191" width="4.5" style="286" customWidth="1"/>
    <col min="8192" max="8192" width="5" style="286" customWidth="1"/>
    <col min="8193" max="8193" width="28.875" style="286" customWidth="1"/>
    <col min="8194" max="8197" width="8.375" style="286" customWidth="1"/>
    <col min="8198" max="8198" width="9.75" style="286" customWidth="1"/>
    <col min="8199" max="8199" width="6.625" style="286" customWidth="1"/>
    <col min="8200" max="8200" width="7" style="286" customWidth="1"/>
    <col min="8201" max="8201" width="5.25" style="286" customWidth="1"/>
    <col min="8202" max="8202" width="7.375" style="286" customWidth="1"/>
    <col min="8203" max="8203" width="8" style="286" customWidth="1"/>
    <col min="8204" max="8204" width="6.875" style="286" customWidth="1"/>
    <col min="8205" max="8205" width="8.375" style="286" customWidth="1"/>
    <col min="8206" max="8206" width="11.375" style="286" customWidth="1"/>
    <col min="8207" max="8207" width="7.75" style="286" customWidth="1"/>
    <col min="8208" max="8208" width="7.625" style="286" customWidth="1"/>
    <col min="8209" max="8209" width="34" style="286" customWidth="1"/>
    <col min="8210" max="8210" width="19.125" style="286" customWidth="1"/>
    <col min="8211" max="8211" width="8.75" style="286" bestFit="1" customWidth="1"/>
    <col min="8212" max="8446" width="9" style="286"/>
    <col min="8447" max="8447" width="4.5" style="286" customWidth="1"/>
    <col min="8448" max="8448" width="5" style="286" customWidth="1"/>
    <col min="8449" max="8449" width="28.875" style="286" customWidth="1"/>
    <col min="8450" max="8453" width="8.375" style="286" customWidth="1"/>
    <col min="8454" max="8454" width="9.75" style="286" customWidth="1"/>
    <col min="8455" max="8455" width="6.625" style="286" customWidth="1"/>
    <col min="8456" max="8456" width="7" style="286" customWidth="1"/>
    <col min="8457" max="8457" width="5.25" style="286" customWidth="1"/>
    <col min="8458" max="8458" width="7.375" style="286" customWidth="1"/>
    <col min="8459" max="8459" width="8" style="286" customWidth="1"/>
    <col min="8460" max="8460" width="6.875" style="286" customWidth="1"/>
    <col min="8461" max="8461" width="8.375" style="286" customWidth="1"/>
    <col min="8462" max="8462" width="11.375" style="286" customWidth="1"/>
    <col min="8463" max="8463" width="7.75" style="286" customWidth="1"/>
    <col min="8464" max="8464" width="7.625" style="286" customWidth="1"/>
    <col min="8465" max="8465" width="34" style="286" customWidth="1"/>
    <col min="8466" max="8466" width="19.125" style="286" customWidth="1"/>
    <col min="8467" max="8467" width="8.75" style="286" bestFit="1" customWidth="1"/>
    <col min="8468" max="8702" width="9" style="286"/>
    <col min="8703" max="8703" width="4.5" style="286" customWidth="1"/>
    <col min="8704" max="8704" width="5" style="286" customWidth="1"/>
    <col min="8705" max="8705" width="28.875" style="286" customWidth="1"/>
    <col min="8706" max="8709" width="8.375" style="286" customWidth="1"/>
    <col min="8710" max="8710" width="9.75" style="286" customWidth="1"/>
    <col min="8711" max="8711" width="6.625" style="286" customWidth="1"/>
    <col min="8712" max="8712" width="7" style="286" customWidth="1"/>
    <col min="8713" max="8713" width="5.25" style="286" customWidth="1"/>
    <col min="8714" max="8714" width="7.375" style="286" customWidth="1"/>
    <col min="8715" max="8715" width="8" style="286" customWidth="1"/>
    <col min="8716" max="8716" width="6.875" style="286" customWidth="1"/>
    <col min="8717" max="8717" width="8.375" style="286" customWidth="1"/>
    <col min="8718" max="8718" width="11.375" style="286" customWidth="1"/>
    <col min="8719" max="8719" width="7.75" style="286" customWidth="1"/>
    <col min="8720" max="8720" width="7.625" style="286" customWidth="1"/>
    <col min="8721" max="8721" width="34" style="286" customWidth="1"/>
    <col min="8722" max="8722" width="19.125" style="286" customWidth="1"/>
    <col min="8723" max="8723" width="8.75" style="286" bestFit="1" customWidth="1"/>
    <col min="8724" max="8958" width="9" style="286"/>
    <col min="8959" max="8959" width="4.5" style="286" customWidth="1"/>
    <col min="8960" max="8960" width="5" style="286" customWidth="1"/>
    <col min="8961" max="8961" width="28.875" style="286" customWidth="1"/>
    <col min="8962" max="8965" width="8.375" style="286" customWidth="1"/>
    <col min="8966" max="8966" width="9.75" style="286" customWidth="1"/>
    <col min="8967" max="8967" width="6.625" style="286" customWidth="1"/>
    <col min="8968" max="8968" width="7" style="286" customWidth="1"/>
    <col min="8969" max="8969" width="5.25" style="286" customWidth="1"/>
    <col min="8970" max="8970" width="7.375" style="286" customWidth="1"/>
    <col min="8971" max="8971" width="8" style="286" customWidth="1"/>
    <col min="8972" max="8972" width="6.875" style="286" customWidth="1"/>
    <col min="8973" max="8973" width="8.375" style="286" customWidth="1"/>
    <col min="8974" max="8974" width="11.375" style="286" customWidth="1"/>
    <col min="8975" max="8975" width="7.75" style="286" customWidth="1"/>
    <col min="8976" max="8976" width="7.625" style="286" customWidth="1"/>
    <col min="8977" max="8977" width="34" style="286" customWidth="1"/>
    <col min="8978" max="8978" width="19.125" style="286" customWidth="1"/>
    <col min="8979" max="8979" width="8.75" style="286" bestFit="1" customWidth="1"/>
    <col min="8980" max="9214" width="9" style="286"/>
    <col min="9215" max="9215" width="4.5" style="286" customWidth="1"/>
    <col min="9216" max="9216" width="5" style="286" customWidth="1"/>
    <col min="9217" max="9217" width="28.875" style="286" customWidth="1"/>
    <col min="9218" max="9221" width="8.375" style="286" customWidth="1"/>
    <col min="9222" max="9222" width="9.75" style="286" customWidth="1"/>
    <col min="9223" max="9223" width="6.625" style="286" customWidth="1"/>
    <col min="9224" max="9224" width="7" style="286" customWidth="1"/>
    <col min="9225" max="9225" width="5.25" style="286" customWidth="1"/>
    <col min="9226" max="9226" width="7.375" style="286" customWidth="1"/>
    <col min="9227" max="9227" width="8" style="286" customWidth="1"/>
    <col min="9228" max="9228" width="6.875" style="286" customWidth="1"/>
    <col min="9229" max="9229" width="8.375" style="286" customWidth="1"/>
    <col min="9230" max="9230" width="11.375" style="286" customWidth="1"/>
    <col min="9231" max="9231" width="7.75" style="286" customWidth="1"/>
    <col min="9232" max="9232" width="7.625" style="286" customWidth="1"/>
    <col min="9233" max="9233" width="34" style="286" customWidth="1"/>
    <col min="9234" max="9234" width="19.125" style="286" customWidth="1"/>
    <col min="9235" max="9235" width="8.75" style="286" bestFit="1" customWidth="1"/>
    <col min="9236" max="9470" width="9" style="286"/>
    <col min="9471" max="9471" width="4.5" style="286" customWidth="1"/>
    <col min="9472" max="9472" width="5" style="286" customWidth="1"/>
    <col min="9473" max="9473" width="28.875" style="286" customWidth="1"/>
    <col min="9474" max="9477" width="8.375" style="286" customWidth="1"/>
    <col min="9478" max="9478" width="9.75" style="286" customWidth="1"/>
    <col min="9479" max="9479" width="6.625" style="286" customWidth="1"/>
    <col min="9480" max="9480" width="7" style="286" customWidth="1"/>
    <col min="9481" max="9481" width="5.25" style="286" customWidth="1"/>
    <col min="9482" max="9482" width="7.375" style="286" customWidth="1"/>
    <col min="9483" max="9483" width="8" style="286" customWidth="1"/>
    <col min="9484" max="9484" width="6.875" style="286" customWidth="1"/>
    <col min="9485" max="9485" width="8.375" style="286" customWidth="1"/>
    <col min="9486" max="9486" width="11.375" style="286" customWidth="1"/>
    <col min="9487" max="9487" width="7.75" style="286" customWidth="1"/>
    <col min="9488" max="9488" width="7.625" style="286" customWidth="1"/>
    <col min="9489" max="9489" width="34" style="286" customWidth="1"/>
    <col min="9490" max="9490" width="19.125" style="286" customWidth="1"/>
    <col min="9491" max="9491" width="8.75" style="286" bestFit="1" customWidth="1"/>
    <col min="9492" max="9726" width="9" style="286"/>
    <col min="9727" max="9727" width="4.5" style="286" customWidth="1"/>
    <col min="9728" max="9728" width="5" style="286" customWidth="1"/>
    <col min="9729" max="9729" width="28.875" style="286" customWidth="1"/>
    <col min="9730" max="9733" width="8.375" style="286" customWidth="1"/>
    <col min="9734" max="9734" width="9.75" style="286" customWidth="1"/>
    <col min="9735" max="9735" width="6.625" style="286" customWidth="1"/>
    <col min="9736" max="9736" width="7" style="286" customWidth="1"/>
    <col min="9737" max="9737" width="5.25" style="286" customWidth="1"/>
    <col min="9738" max="9738" width="7.375" style="286" customWidth="1"/>
    <col min="9739" max="9739" width="8" style="286" customWidth="1"/>
    <col min="9740" max="9740" width="6.875" style="286" customWidth="1"/>
    <col min="9741" max="9741" width="8.375" style="286" customWidth="1"/>
    <col min="9742" max="9742" width="11.375" style="286" customWidth="1"/>
    <col min="9743" max="9743" width="7.75" style="286" customWidth="1"/>
    <col min="9744" max="9744" width="7.625" style="286" customWidth="1"/>
    <col min="9745" max="9745" width="34" style="286" customWidth="1"/>
    <col min="9746" max="9746" width="19.125" style="286" customWidth="1"/>
    <col min="9747" max="9747" width="8.75" style="286" bestFit="1" customWidth="1"/>
    <col min="9748" max="9982" width="9" style="286"/>
    <col min="9983" max="9983" width="4.5" style="286" customWidth="1"/>
    <col min="9984" max="9984" width="5" style="286" customWidth="1"/>
    <col min="9985" max="9985" width="28.875" style="286" customWidth="1"/>
    <col min="9986" max="9989" width="8.375" style="286" customWidth="1"/>
    <col min="9990" max="9990" width="9.75" style="286" customWidth="1"/>
    <col min="9991" max="9991" width="6.625" style="286" customWidth="1"/>
    <col min="9992" max="9992" width="7" style="286" customWidth="1"/>
    <col min="9993" max="9993" width="5.25" style="286" customWidth="1"/>
    <col min="9994" max="9994" width="7.375" style="286" customWidth="1"/>
    <col min="9995" max="9995" width="8" style="286" customWidth="1"/>
    <col min="9996" max="9996" width="6.875" style="286" customWidth="1"/>
    <col min="9997" max="9997" width="8.375" style="286" customWidth="1"/>
    <col min="9998" max="9998" width="11.375" style="286" customWidth="1"/>
    <col min="9999" max="9999" width="7.75" style="286" customWidth="1"/>
    <col min="10000" max="10000" width="7.625" style="286" customWidth="1"/>
    <col min="10001" max="10001" width="34" style="286" customWidth="1"/>
    <col min="10002" max="10002" width="19.125" style="286" customWidth="1"/>
    <col min="10003" max="10003" width="8.75" style="286" bestFit="1" customWidth="1"/>
    <col min="10004" max="10238" width="9" style="286"/>
    <col min="10239" max="10239" width="4.5" style="286" customWidth="1"/>
    <col min="10240" max="10240" width="5" style="286" customWidth="1"/>
    <col min="10241" max="10241" width="28.875" style="286" customWidth="1"/>
    <col min="10242" max="10245" width="8.375" style="286" customWidth="1"/>
    <col min="10246" max="10246" width="9.75" style="286" customWidth="1"/>
    <col min="10247" max="10247" width="6.625" style="286" customWidth="1"/>
    <col min="10248" max="10248" width="7" style="286" customWidth="1"/>
    <col min="10249" max="10249" width="5.25" style="286" customWidth="1"/>
    <col min="10250" max="10250" width="7.375" style="286" customWidth="1"/>
    <col min="10251" max="10251" width="8" style="286" customWidth="1"/>
    <col min="10252" max="10252" width="6.875" style="286" customWidth="1"/>
    <col min="10253" max="10253" width="8.375" style="286" customWidth="1"/>
    <col min="10254" max="10254" width="11.375" style="286" customWidth="1"/>
    <col min="10255" max="10255" width="7.75" style="286" customWidth="1"/>
    <col min="10256" max="10256" width="7.625" style="286" customWidth="1"/>
    <col min="10257" max="10257" width="34" style="286" customWidth="1"/>
    <col min="10258" max="10258" width="19.125" style="286" customWidth="1"/>
    <col min="10259" max="10259" width="8.75" style="286" bestFit="1" customWidth="1"/>
    <col min="10260" max="10494" width="9" style="286"/>
    <col min="10495" max="10495" width="4.5" style="286" customWidth="1"/>
    <col min="10496" max="10496" width="5" style="286" customWidth="1"/>
    <col min="10497" max="10497" width="28.875" style="286" customWidth="1"/>
    <col min="10498" max="10501" width="8.375" style="286" customWidth="1"/>
    <col min="10502" max="10502" width="9.75" style="286" customWidth="1"/>
    <col min="10503" max="10503" width="6.625" style="286" customWidth="1"/>
    <col min="10504" max="10504" width="7" style="286" customWidth="1"/>
    <col min="10505" max="10505" width="5.25" style="286" customWidth="1"/>
    <col min="10506" max="10506" width="7.375" style="286" customWidth="1"/>
    <col min="10507" max="10507" width="8" style="286" customWidth="1"/>
    <col min="10508" max="10508" width="6.875" style="286" customWidth="1"/>
    <col min="10509" max="10509" width="8.375" style="286" customWidth="1"/>
    <col min="10510" max="10510" width="11.375" style="286" customWidth="1"/>
    <col min="10511" max="10511" width="7.75" style="286" customWidth="1"/>
    <col min="10512" max="10512" width="7.625" style="286" customWidth="1"/>
    <col min="10513" max="10513" width="34" style="286" customWidth="1"/>
    <col min="10514" max="10514" width="19.125" style="286" customWidth="1"/>
    <col min="10515" max="10515" width="8.75" style="286" bestFit="1" customWidth="1"/>
    <col min="10516" max="10750" width="9" style="286"/>
    <col min="10751" max="10751" width="4.5" style="286" customWidth="1"/>
    <col min="10752" max="10752" width="5" style="286" customWidth="1"/>
    <col min="10753" max="10753" width="28.875" style="286" customWidth="1"/>
    <col min="10754" max="10757" width="8.375" style="286" customWidth="1"/>
    <col min="10758" max="10758" width="9.75" style="286" customWidth="1"/>
    <col min="10759" max="10759" width="6.625" style="286" customWidth="1"/>
    <col min="10760" max="10760" width="7" style="286" customWidth="1"/>
    <col min="10761" max="10761" width="5.25" style="286" customWidth="1"/>
    <col min="10762" max="10762" width="7.375" style="286" customWidth="1"/>
    <col min="10763" max="10763" width="8" style="286" customWidth="1"/>
    <col min="10764" max="10764" width="6.875" style="286" customWidth="1"/>
    <col min="10765" max="10765" width="8.375" style="286" customWidth="1"/>
    <col min="10766" max="10766" width="11.375" style="286" customWidth="1"/>
    <col min="10767" max="10767" width="7.75" style="286" customWidth="1"/>
    <col min="10768" max="10768" width="7.625" style="286" customWidth="1"/>
    <col min="10769" max="10769" width="34" style="286" customWidth="1"/>
    <col min="10770" max="10770" width="19.125" style="286" customWidth="1"/>
    <col min="10771" max="10771" width="8.75" style="286" bestFit="1" customWidth="1"/>
    <col min="10772" max="11006" width="9" style="286"/>
    <col min="11007" max="11007" width="4.5" style="286" customWidth="1"/>
    <col min="11008" max="11008" width="5" style="286" customWidth="1"/>
    <col min="11009" max="11009" width="28.875" style="286" customWidth="1"/>
    <col min="11010" max="11013" width="8.375" style="286" customWidth="1"/>
    <col min="11014" max="11014" width="9.75" style="286" customWidth="1"/>
    <col min="11015" max="11015" width="6.625" style="286" customWidth="1"/>
    <col min="11016" max="11016" width="7" style="286" customWidth="1"/>
    <col min="11017" max="11017" width="5.25" style="286" customWidth="1"/>
    <col min="11018" max="11018" width="7.375" style="286" customWidth="1"/>
    <col min="11019" max="11019" width="8" style="286" customWidth="1"/>
    <col min="11020" max="11020" width="6.875" style="286" customWidth="1"/>
    <col min="11021" max="11021" width="8.375" style="286" customWidth="1"/>
    <col min="11022" max="11022" width="11.375" style="286" customWidth="1"/>
    <col min="11023" max="11023" width="7.75" style="286" customWidth="1"/>
    <col min="11024" max="11024" width="7.625" style="286" customWidth="1"/>
    <col min="11025" max="11025" width="34" style="286" customWidth="1"/>
    <col min="11026" max="11026" width="19.125" style="286" customWidth="1"/>
    <col min="11027" max="11027" width="8.75" style="286" bestFit="1" customWidth="1"/>
    <col min="11028" max="11262" width="9" style="286"/>
    <col min="11263" max="11263" width="4.5" style="286" customWidth="1"/>
    <col min="11264" max="11264" width="5" style="286" customWidth="1"/>
    <col min="11265" max="11265" width="28.875" style="286" customWidth="1"/>
    <col min="11266" max="11269" width="8.375" style="286" customWidth="1"/>
    <col min="11270" max="11270" width="9.75" style="286" customWidth="1"/>
    <col min="11271" max="11271" width="6.625" style="286" customWidth="1"/>
    <col min="11272" max="11272" width="7" style="286" customWidth="1"/>
    <col min="11273" max="11273" width="5.25" style="286" customWidth="1"/>
    <col min="11274" max="11274" width="7.375" style="286" customWidth="1"/>
    <col min="11275" max="11275" width="8" style="286" customWidth="1"/>
    <col min="11276" max="11276" width="6.875" style="286" customWidth="1"/>
    <col min="11277" max="11277" width="8.375" style="286" customWidth="1"/>
    <col min="11278" max="11278" width="11.375" style="286" customWidth="1"/>
    <col min="11279" max="11279" width="7.75" style="286" customWidth="1"/>
    <col min="11280" max="11280" width="7.625" style="286" customWidth="1"/>
    <col min="11281" max="11281" width="34" style="286" customWidth="1"/>
    <col min="11282" max="11282" width="19.125" style="286" customWidth="1"/>
    <col min="11283" max="11283" width="8.75" style="286" bestFit="1" customWidth="1"/>
    <col min="11284" max="11518" width="9" style="286"/>
    <col min="11519" max="11519" width="4.5" style="286" customWidth="1"/>
    <col min="11520" max="11520" width="5" style="286" customWidth="1"/>
    <col min="11521" max="11521" width="28.875" style="286" customWidth="1"/>
    <col min="11522" max="11525" width="8.375" style="286" customWidth="1"/>
    <col min="11526" max="11526" width="9.75" style="286" customWidth="1"/>
    <col min="11527" max="11527" width="6.625" style="286" customWidth="1"/>
    <col min="11528" max="11528" width="7" style="286" customWidth="1"/>
    <col min="11529" max="11529" width="5.25" style="286" customWidth="1"/>
    <col min="11530" max="11530" width="7.375" style="286" customWidth="1"/>
    <col min="11531" max="11531" width="8" style="286" customWidth="1"/>
    <col min="11532" max="11532" width="6.875" style="286" customWidth="1"/>
    <col min="11533" max="11533" width="8.375" style="286" customWidth="1"/>
    <col min="11534" max="11534" width="11.375" style="286" customWidth="1"/>
    <col min="11535" max="11535" width="7.75" style="286" customWidth="1"/>
    <col min="11536" max="11536" width="7.625" style="286" customWidth="1"/>
    <col min="11537" max="11537" width="34" style="286" customWidth="1"/>
    <col min="11538" max="11538" width="19.125" style="286" customWidth="1"/>
    <col min="11539" max="11539" width="8.75" style="286" bestFit="1" customWidth="1"/>
    <col min="11540" max="11774" width="9" style="286"/>
    <col min="11775" max="11775" width="4.5" style="286" customWidth="1"/>
    <col min="11776" max="11776" width="5" style="286" customWidth="1"/>
    <col min="11777" max="11777" width="28.875" style="286" customWidth="1"/>
    <col min="11778" max="11781" width="8.375" style="286" customWidth="1"/>
    <col min="11782" max="11782" width="9.75" style="286" customWidth="1"/>
    <col min="11783" max="11783" width="6.625" style="286" customWidth="1"/>
    <col min="11784" max="11784" width="7" style="286" customWidth="1"/>
    <col min="11785" max="11785" width="5.25" style="286" customWidth="1"/>
    <col min="11786" max="11786" width="7.375" style="286" customWidth="1"/>
    <col min="11787" max="11787" width="8" style="286" customWidth="1"/>
    <col min="11788" max="11788" width="6.875" style="286" customWidth="1"/>
    <col min="11789" max="11789" width="8.375" style="286" customWidth="1"/>
    <col min="11790" max="11790" width="11.375" style="286" customWidth="1"/>
    <col min="11791" max="11791" width="7.75" style="286" customWidth="1"/>
    <col min="11792" max="11792" width="7.625" style="286" customWidth="1"/>
    <col min="11793" max="11793" width="34" style="286" customWidth="1"/>
    <col min="11794" max="11794" width="19.125" style="286" customWidth="1"/>
    <col min="11795" max="11795" width="8.75" style="286" bestFit="1" customWidth="1"/>
    <col min="11796" max="12030" width="9" style="286"/>
    <col min="12031" max="12031" width="4.5" style="286" customWidth="1"/>
    <col min="12032" max="12032" width="5" style="286" customWidth="1"/>
    <col min="12033" max="12033" width="28.875" style="286" customWidth="1"/>
    <col min="12034" max="12037" width="8.375" style="286" customWidth="1"/>
    <col min="12038" max="12038" width="9.75" style="286" customWidth="1"/>
    <col min="12039" max="12039" width="6.625" style="286" customWidth="1"/>
    <col min="12040" max="12040" width="7" style="286" customWidth="1"/>
    <col min="12041" max="12041" width="5.25" style="286" customWidth="1"/>
    <col min="12042" max="12042" width="7.375" style="286" customWidth="1"/>
    <col min="12043" max="12043" width="8" style="286" customWidth="1"/>
    <col min="12044" max="12044" width="6.875" style="286" customWidth="1"/>
    <col min="12045" max="12045" width="8.375" style="286" customWidth="1"/>
    <col min="12046" max="12046" width="11.375" style="286" customWidth="1"/>
    <col min="12047" max="12047" width="7.75" style="286" customWidth="1"/>
    <col min="12048" max="12048" width="7.625" style="286" customWidth="1"/>
    <col min="12049" max="12049" width="34" style="286" customWidth="1"/>
    <col min="12050" max="12050" width="19.125" style="286" customWidth="1"/>
    <col min="12051" max="12051" width="8.75" style="286" bestFit="1" customWidth="1"/>
    <col min="12052" max="12286" width="9" style="286"/>
    <col min="12287" max="12287" width="4.5" style="286" customWidth="1"/>
    <col min="12288" max="12288" width="5" style="286" customWidth="1"/>
    <col min="12289" max="12289" width="28.875" style="286" customWidth="1"/>
    <col min="12290" max="12293" width="8.375" style="286" customWidth="1"/>
    <col min="12294" max="12294" width="9.75" style="286" customWidth="1"/>
    <col min="12295" max="12295" width="6.625" style="286" customWidth="1"/>
    <col min="12296" max="12296" width="7" style="286" customWidth="1"/>
    <col min="12297" max="12297" width="5.25" style="286" customWidth="1"/>
    <col min="12298" max="12298" width="7.375" style="286" customWidth="1"/>
    <col min="12299" max="12299" width="8" style="286" customWidth="1"/>
    <col min="12300" max="12300" width="6.875" style="286" customWidth="1"/>
    <col min="12301" max="12301" width="8.375" style="286" customWidth="1"/>
    <col min="12302" max="12302" width="11.375" style="286" customWidth="1"/>
    <col min="12303" max="12303" width="7.75" style="286" customWidth="1"/>
    <col min="12304" max="12304" width="7.625" style="286" customWidth="1"/>
    <col min="12305" max="12305" width="34" style="286" customWidth="1"/>
    <col min="12306" max="12306" width="19.125" style="286" customWidth="1"/>
    <col min="12307" max="12307" width="8.75" style="286" bestFit="1" customWidth="1"/>
    <col min="12308" max="12542" width="9" style="286"/>
    <col min="12543" max="12543" width="4.5" style="286" customWidth="1"/>
    <col min="12544" max="12544" width="5" style="286" customWidth="1"/>
    <col min="12545" max="12545" width="28.875" style="286" customWidth="1"/>
    <col min="12546" max="12549" width="8.375" style="286" customWidth="1"/>
    <col min="12550" max="12550" width="9.75" style="286" customWidth="1"/>
    <col min="12551" max="12551" width="6.625" style="286" customWidth="1"/>
    <col min="12552" max="12552" width="7" style="286" customWidth="1"/>
    <col min="12553" max="12553" width="5.25" style="286" customWidth="1"/>
    <col min="12554" max="12554" width="7.375" style="286" customWidth="1"/>
    <col min="12555" max="12555" width="8" style="286" customWidth="1"/>
    <col min="12556" max="12556" width="6.875" style="286" customWidth="1"/>
    <col min="12557" max="12557" width="8.375" style="286" customWidth="1"/>
    <col min="12558" max="12558" width="11.375" style="286" customWidth="1"/>
    <col min="12559" max="12559" width="7.75" style="286" customWidth="1"/>
    <col min="12560" max="12560" width="7.625" style="286" customWidth="1"/>
    <col min="12561" max="12561" width="34" style="286" customWidth="1"/>
    <col min="12562" max="12562" width="19.125" style="286" customWidth="1"/>
    <col min="12563" max="12563" width="8.75" style="286" bestFit="1" customWidth="1"/>
    <col min="12564" max="12798" width="9" style="286"/>
    <col min="12799" max="12799" width="4.5" style="286" customWidth="1"/>
    <col min="12800" max="12800" width="5" style="286" customWidth="1"/>
    <col min="12801" max="12801" width="28.875" style="286" customWidth="1"/>
    <col min="12802" max="12805" width="8.375" style="286" customWidth="1"/>
    <col min="12806" max="12806" width="9.75" style="286" customWidth="1"/>
    <col min="12807" max="12807" width="6.625" style="286" customWidth="1"/>
    <col min="12808" max="12808" width="7" style="286" customWidth="1"/>
    <col min="12809" max="12809" width="5.25" style="286" customWidth="1"/>
    <col min="12810" max="12810" width="7.375" style="286" customWidth="1"/>
    <col min="12811" max="12811" width="8" style="286" customWidth="1"/>
    <col min="12812" max="12812" width="6.875" style="286" customWidth="1"/>
    <col min="12813" max="12813" width="8.375" style="286" customWidth="1"/>
    <col min="12814" max="12814" width="11.375" style="286" customWidth="1"/>
    <col min="12815" max="12815" width="7.75" style="286" customWidth="1"/>
    <col min="12816" max="12816" width="7.625" style="286" customWidth="1"/>
    <col min="12817" max="12817" width="34" style="286" customWidth="1"/>
    <col min="12818" max="12818" width="19.125" style="286" customWidth="1"/>
    <col min="12819" max="12819" width="8.75" style="286" bestFit="1" customWidth="1"/>
    <col min="12820" max="13054" width="9" style="286"/>
    <col min="13055" max="13055" width="4.5" style="286" customWidth="1"/>
    <col min="13056" max="13056" width="5" style="286" customWidth="1"/>
    <col min="13057" max="13057" width="28.875" style="286" customWidth="1"/>
    <col min="13058" max="13061" width="8.375" style="286" customWidth="1"/>
    <col min="13062" max="13062" width="9.75" style="286" customWidth="1"/>
    <col min="13063" max="13063" width="6.625" style="286" customWidth="1"/>
    <col min="13064" max="13064" width="7" style="286" customWidth="1"/>
    <col min="13065" max="13065" width="5.25" style="286" customWidth="1"/>
    <col min="13066" max="13066" width="7.375" style="286" customWidth="1"/>
    <col min="13067" max="13067" width="8" style="286" customWidth="1"/>
    <col min="13068" max="13068" width="6.875" style="286" customWidth="1"/>
    <col min="13069" max="13069" width="8.375" style="286" customWidth="1"/>
    <col min="13070" max="13070" width="11.375" style="286" customWidth="1"/>
    <col min="13071" max="13071" width="7.75" style="286" customWidth="1"/>
    <col min="13072" max="13072" width="7.625" style="286" customWidth="1"/>
    <col min="13073" max="13073" width="34" style="286" customWidth="1"/>
    <col min="13074" max="13074" width="19.125" style="286" customWidth="1"/>
    <col min="13075" max="13075" width="8.75" style="286" bestFit="1" customWidth="1"/>
    <col min="13076" max="13310" width="9" style="286"/>
    <col min="13311" max="13311" width="4.5" style="286" customWidth="1"/>
    <col min="13312" max="13312" width="5" style="286" customWidth="1"/>
    <col min="13313" max="13313" width="28.875" style="286" customWidth="1"/>
    <col min="13314" max="13317" width="8.375" style="286" customWidth="1"/>
    <col min="13318" max="13318" width="9.75" style="286" customWidth="1"/>
    <col min="13319" max="13319" width="6.625" style="286" customWidth="1"/>
    <col min="13320" max="13320" width="7" style="286" customWidth="1"/>
    <col min="13321" max="13321" width="5.25" style="286" customWidth="1"/>
    <col min="13322" max="13322" width="7.375" style="286" customWidth="1"/>
    <col min="13323" max="13323" width="8" style="286" customWidth="1"/>
    <col min="13324" max="13324" width="6.875" style="286" customWidth="1"/>
    <col min="13325" max="13325" width="8.375" style="286" customWidth="1"/>
    <col min="13326" max="13326" width="11.375" style="286" customWidth="1"/>
    <col min="13327" max="13327" width="7.75" style="286" customWidth="1"/>
    <col min="13328" max="13328" width="7.625" style="286" customWidth="1"/>
    <col min="13329" max="13329" width="34" style="286" customWidth="1"/>
    <col min="13330" max="13330" width="19.125" style="286" customWidth="1"/>
    <col min="13331" max="13331" width="8.75" style="286" bestFit="1" customWidth="1"/>
    <col min="13332" max="13566" width="9" style="286"/>
    <col min="13567" max="13567" width="4.5" style="286" customWidth="1"/>
    <col min="13568" max="13568" width="5" style="286" customWidth="1"/>
    <col min="13569" max="13569" width="28.875" style="286" customWidth="1"/>
    <col min="13570" max="13573" width="8.375" style="286" customWidth="1"/>
    <col min="13574" max="13574" width="9.75" style="286" customWidth="1"/>
    <col min="13575" max="13575" width="6.625" style="286" customWidth="1"/>
    <col min="13576" max="13576" width="7" style="286" customWidth="1"/>
    <col min="13577" max="13577" width="5.25" style="286" customWidth="1"/>
    <col min="13578" max="13578" width="7.375" style="286" customWidth="1"/>
    <col min="13579" max="13579" width="8" style="286" customWidth="1"/>
    <col min="13580" max="13580" width="6.875" style="286" customWidth="1"/>
    <col min="13581" max="13581" width="8.375" style="286" customWidth="1"/>
    <col min="13582" max="13582" width="11.375" style="286" customWidth="1"/>
    <col min="13583" max="13583" width="7.75" style="286" customWidth="1"/>
    <col min="13584" max="13584" width="7.625" style="286" customWidth="1"/>
    <col min="13585" max="13585" width="34" style="286" customWidth="1"/>
    <col min="13586" max="13586" width="19.125" style="286" customWidth="1"/>
    <col min="13587" max="13587" width="8.75" style="286" bestFit="1" customWidth="1"/>
    <col min="13588" max="13822" width="9" style="286"/>
    <col min="13823" max="13823" width="4.5" style="286" customWidth="1"/>
    <col min="13824" max="13824" width="5" style="286" customWidth="1"/>
    <col min="13825" max="13825" width="28.875" style="286" customWidth="1"/>
    <col min="13826" max="13829" width="8.375" style="286" customWidth="1"/>
    <col min="13830" max="13830" width="9.75" style="286" customWidth="1"/>
    <col min="13831" max="13831" width="6.625" style="286" customWidth="1"/>
    <col min="13832" max="13832" width="7" style="286" customWidth="1"/>
    <col min="13833" max="13833" width="5.25" style="286" customWidth="1"/>
    <col min="13834" max="13834" width="7.375" style="286" customWidth="1"/>
    <col min="13835" max="13835" width="8" style="286" customWidth="1"/>
    <col min="13836" max="13836" width="6.875" style="286" customWidth="1"/>
    <col min="13837" max="13837" width="8.375" style="286" customWidth="1"/>
    <col min="13838" max="13838" width="11.375" style="286" customWidth="1"/>
    <col min="13839" max="13839" width="7.75" style="286" customWidth="1"/>
    <col min="13840" max="13840" width="7.625" style="286" customWidth="1"/>
    <col min="13841" max="13841" width="34" style="286" customWidth="1"/>
    <col min="13842" max="13842" width="19.125" style="286" customWidth="1"/>
    <col min="13843" max="13843" width="8.75" style="286" bestFit="1" customWidth="1"/>
    <col min="13844" max="14078" width="9" style="286"/>
    <col min="14079" max="14079" width="4.5" style="286" customWidth="1"/>
    <col min="14080" max="14080" width="5" style="286" customWidth="1"/>
    <col min="14081" max="14081" width="28.875" style="286" customWidth="1"/>
    <col min="14082" max="14085" width="8.375" style="286" customWidth="1"/>
    <col min="14086" max="14086" width="9.75" style="286" customWidth="1"/>
    <col min="14087" max="14087" width="6.625" style="286" customWidth="1"/>
    <col min="14088" max="14088" width="7" style="286" customWidth="1"/>
    <col min="14089" max="14089" width="5.25" style="286" customWidth="1"/>
    <col min="14090" max="14090" width="7.375" style="286" customWidth="1"/>
    <col min="14091" max="14091" width="8" style="286" customWidth="1"/>
    <col min="14092" max="14092" width="6.875" style="286" customWidth="1"/>
    <col min="14093" max="14093" width="8.375" style="286" customWidth="1"/>
    <col min="14094" max="14094" width="11.375" style="286" customWidth="1"/>
    <col min="14095" max="14095" width="7.75" style="286" customWidth="1"/>
    <col min="14096" max="14096" width="7.625" style="286" customWidth="1"/>
    <col min="14097" max="14097" width="34" style="286" customWidth="1"/>
    <col min="14098" max="14098" width="19.125" style="286" customWidth="1"/>
    <col min="14099" max="14099" width="8.75" style="286" bestFit="1" customWidth="1"/>
    <col min="14100" max="14334" width="9" style="286"/>
    <col min="14335" max="14335" width="4.5" style="286" customWidth="1"/>
    <col min="14336" max="14336" width="5" style="286" customWidth="1"/>
    <col min="14337" max="14337" width="28.875" style="286" customWidth="1"/>
    <col min="14338" max="14341" width="8.375" style="286" customWidth="1"/>
    <col min="14342" max="14342" width="9.75" style="286" customWidth="1"/>
    <col min="14343" max="14343" width="6.625" style="286" customWidth="1"/>
    <col min="14344" max="14344" width="7" style="286" customWidth="1"/>
    <col min="14345" max="14345" width="5.25" style="286" customWidth="1"/>
    <col min="14346" max="14346" width="7.375" style="286" customWidth="1"/>
    <col min="14347" max="14347" width="8" style="286" customWidth="1"/>
    <col min="14348" max="14348" width="6.875" style="286" customWidth="1"/>
    <col min="14349" max="14349" width="8.375" style="286" customWidth="1"/>
    <col min="14350" max="14350" width="11.375" style="286" customWidth="1"/>
    <col min="14351" max="14351" width="7.75" style="286" customWidth="1"/>
    <col min="14352" max="14352" width="7.625" style="286" customWidth="1"/>
    <col min="14353" max="14353" width="34" style="286" customWidth="1"/>
    <col min="14354" max="14354" width="19.125" style="286" customWidth="1"/>
    <col min="14355" max="14355" width="8.75" style="286" bestFit="1" customWidth="1"/>
    <col min="14356" max="14590" width="9" style="286"/>
    <col min="14591" max="14591" width="4.5" style="286" customWidth="1"/>
    <col min="14592" max="14592" width="5" style="286" customWidth="1"/>
    <col min="14593" max="14593" width="28.875" style="286" customWidth="1"/>
    <col min="14594" max="14597" width="8.375" style="286" customWidth="1"/>
    <col min="14598" max="14598" width="9.75" style="286" customWidth="1"/>
    <col min="14599" max="14599" width="6.625" style="286" customWidth="1"/>
    <col min="14600" max="14600" width="7" style="286" customWidth="1"/>
    <col min="14601" max="14601" width="5.25" style="286" customWidth="1"/>
    <col min="14602" max="14602" width="7.375" style="286" customWidth="1"/>
    <col min="14603" max="14603" width="8" style="286" customWidth="1"/>
    <col min="14604" max="14604" width="6.875" style="286" customWidth="1"/>
    <col min="14605" max="14605" width="8.375" style="286" customWidth="1"/>
    <col min="14606" max="14606" width="11.375" style="286" customWidth="1"/>
    <col min="14607" max="14607" width="7.75" style="286" customWidth="1"/>
    <col min="14608" max="14608" width="7.625" style="286" customWidth="1"/>
    <col min="14609" max="14609" width="34" style="286" customWidth="1"/>
    <col min="14610" max="14610" width="19.125" style="286" customWidth="1"/>
    <col min="14611" max="14611" width="8.75" style="286" bestFit="1" customWidth="1"/>
    <col min="14612" max="14846" width="9" style="286"/>
    <col min="14847" max="14847" width="4.5" style="286" customWidth="1"/>
    <col min="14848" max="14848" width="5" style="286" customWidth="1"/>
    <col min="14849" max="14849" width="28.875" style="286" customWidth="1"/>
    <col min="14850" max="14853" width="8.375" style="286" customWidth="1"/>
    <col min="14854" max="14854" width="9.75" style="286" customWidth="1"/>
    <col min="14855" max="14855" width="6.625" style="286" customWidth="1"/>
    <col min="14856" max="14856" width="7" style="286" customWidth="1"/>
    <col min="14857" max="14857" width="5.25" style="286" customWidth="1"/>
    <col min="14858" max="14858" width="7.375" style="286" customWidth="1"/>
    <col min="14859" max="14859" width="8" style="286" customWidth="1"/>
    <col min="14860" max="14860" width="6.875" style="286" customWidth="1"/>
    <col min="14861" max="14861" width="8.375" style="286" customWidth="1"/>
    <col min="14862" max="14862" width="11.375" style="286" customWidth="1"/>
    <col min="14863" max="14863" width="7.75" style="286" customWidth="1"/>
    <col min="14864" max="14864" width="7.625" style="286" customWidth="1"/>
    <col min="14865" max="14865" width="34" style="286" customWidth="1"/>
    <col min="14866" max="14866" width="19.125" style="286" customWidth="1"/>
    <col min="14867" max="14867" width="8.75" style="286" bestFit="1" customWidth="1"/>
    <col min="14868" max="15102" width="9" style="286"/>
    <col min="15103" max="15103" width="4.5" style="286" customWidth="1"/>
    <col min="15104" max="15104" width="5" style="286" customWidth="1"/>
    <col min="15105" max="15105" width="28.875" style="286" customWidth="1"/>
    <col min="15106" max="15109" width="8.375" style="286" customWidth="1"/>
    <col min="15110" max="15110" width="9.75" style="286" customWidth="1"/>
    <col min="15111" max="15111" width="6.625" style="286" customWidth="1"/>
    <col min="15112" max="15112" width="7" style="286" customWidth="1"/>
    <col min="15113" max="15113" width="5.25" style="286" customWidth="1"/>
    <col min="15114" max="15114" width="7.375" style="286" customWidth="1"/>
    <col min="15115" max="15115" width="8" style="286" customWidth="1"/>
    <col min="15116" max="15116" width="6.875" style="286" customWidth="1"/>
    <col min="15117" max="15117" width="8.375" style="286" customWidth="1"/>
    <col min="15118" max="15118" width="11.375" style="286" customWidth="1"/>
    <col min="15119" max="15119" width="7.75" style="286" customWidth="1"/>
    <col min="15120" max="15120" width="7.625" style="286" customWidth="1"/>
    <col min="15121" max="15121" width="34" style="286" customWidth="1"/>
    <col min="15122" max="15122" width="19.125" style="286" customWidth="1"/>
    <col min="15123" max="15123" width="8.75" style="286" bestFit="1" customWidth="1"/>
    <col min="15124" max="15358" width="9" style="286"/>
    <col min="15359" max="15359" width="4.5" style="286" customWidth="1"/>
    <col min="15360" max="15360" width="5" style="286" customWidth="1"/>
    <col min="15361" max="15361" width="28.875" style="286" customWidth="1"/>
    <col min="15362" max="15365" width="8.375" style="286" customWidth="1"/>
    <col min="15366" max="15366" width="9.75" style="286" customWidth="1"/>
    <col min="15367" max="15367" width="6.625" style="286" customWidth="1"/>
    <col min="15368" max="15368" width="7" style="286" customWidth="1"/>
    <col min="15369" max="15369" width="5.25" style="286" customWidth="1"/>
    <col min="15370" max="15370" width="7.375" style="286" customWidth="1"/>
    <col min="15371" max="15371" width="8" style="286" customWidth="1"/>
    <col min="15372" max="15372" width="6.875" style="286" customWidth="1"/>
    <col min="15373" max="15373" width="8.375" style="286" customWidth="1"/>
    <col min="15374" max="15374" width="11.375" style="286" customWidth="1"/>
    <col min="15375" max="15375" width="7.75" style="286" customWidth="1"/>
    <col min="15376" max="15376" width="7.625" style="286" customWidth="1"/>
    <col min="15377" max="15377" width="34" style="286" customWidth="1"/>
    <col min="15378" max="15378" width="19.125" style="286" customWidth="1"/>
    <col min="15379" max="15379" width="8.75" style="286" bestFit="1" customWidth="1"/>
    <col min="15380" max="15614" width="9" style="286"/>
    <col min="15615" max="15615" width="4.5" style="286" customWidth="1"/>
    <col min="15616" max="15616" width="5" style="286" customWidth="1"/>
    <col min="15617" max="15617" width="28.875" style="286" customWidth="1"/>
    <col min="15618" max="15621" width="8.375" style="286" customWidth="1"/>
    <col min="15622" max="15622" width="9.75" style="286" customWidth="1"/>
    <col min="15623" max="15623" width="6.625" style="286" customWidth="1"/>
    <col min="15624" max="15624" width="7" style="286" customWidth="1"/>
    <col min="15625" max="15625" width="5.25" style="286" customWidth="1"/>
    <col min="15626" max="15626" width="7.375" style="286" customWidth="1"/>
    <col min="15627" max="15627" width="8" style="286" customWidth="1"/>
    <col min="15628" max="15628" width="6.875" style="286" customWidth="1"/>
    <col min="15629" max="15629" width="8.375" style="286" customWidth="1"/>
    <col min="15630" max="15630" width="11.375" style="286" customWidth="1"/>
    <col min="15631" max="15631" width="7.75" style="286" customWidth="1"/>
    <col min="15632" max="15632" width="7.625" style="286" customWidth="1"/>
    <col min="15633" max="15633" width="34" style="286" customWidth="1"/>
    <col min="15634" max="15634" width="19.125" style="286" customWidth="1"/>
    <col min="15635" max="15635" width="8.75" style="286" bestFit="1" customWidth="1"/>
    <col min="15636" max="15870" width="9" style="286"/>
    <col min="15871" max="15871" width="4.5" style="286" customWidth="1"/>
    <col min="15872" max="15872" width="5" style="286" customWidth="1"/>
    <col min="15873" max="15873" width="28.875" style="286" customWidth="1"/>
    <col min="15874" max="15877" width="8.375" style="286" customWidth="1"/>
    <col min="15878" max="15878" width="9.75" style="286" customWidth="1"/>
    <col min="15879" max="15879" width="6.625" style="286" customWidth="1"/>
    <col min="15880" max="15880" width="7" style="286" customWidth="1"/>
    <col min="15881" max="15881" width="5.25" style="286" customWidth="1"/>
    <col min="15882" max="15882" width="7.375" style="286" customWidth="1"/>
    <col min="15883" max="15883" width="8" style="286" customWidth="1"/>
    <col min="15884" max="15884" width="6.875" style="286" customWidth="1"/>
    <col min="15885" max="15885" width="8.375" style="286" customWidth="1"/>
    <col min="15886" max="15886" width="11.375" style="286" customWidth="1"/>
    <col min="15887" max="15887" width="7.75" style="286" customWidth="1"/>
    <col min="15888" max="15888" width="7.625" style="286" customWidth="1"/>
    <col min="15889" max="15889" width="34" style="286" customWidth="1"/>
    <col min="15890" max="15890" width="19.125" style="286" customWidth="1"/>
    <col min="15891" max="15891" width="8.75" style="286" bestFit="1" customWidth="1"/>
    <col min="15892" max="16126" width="9" style="286"/>
    <col min="16127" max="16127" width="4.5" style="286" customWidth="1"/>
    <col min="16128" max="16128" width="5" style="286" customWidth="1"/>
    <col min="16129" max="16129" width="28.875" style="286" customWidth="1"/>
    <col min="16130" max="16133" width="8.375" style="286" customWidth="1"/>
    <col min="16134" max="16134" width="9.75" style="286" customWidth="1"/>
    <col min="16135" max="16135" width="6.625" style="286" customWidth="1"/>
    <col min="16136" max="16136" width="7" style="286" customWidth="1"/>
    <col min="16137" max="16137" width="5.25" style="286" customWidth="1"/>
    <col min="16138" max="16138" width="7.375" style="286" customWidth="1"/>
    <col min="16139" max="16139" width="8" style="286" customWidth="1"/>
    <col min="16140" max="16140" width="6.875" style="286" customWidth="1"/>
    <col min="16141" max="16141" width="8.375" style="286" customWidth="1"/>
    <col min="16142" max="16142" width="11.375" style="286" customWidth="1"/>
    <col min="16143" max="16143" width="7.75" style="286" customWidth="1"/>
    <col min="16144" max="16144" width="7.625" style="286" customWidth="1"/>
    <col min="16145" max="16145" width="34" style="286" customWidth="1"/>
    <col min="16146" max="16146" width="19.125" style="286" customWidth="1"/>
    <col min="16147" max="16147" width="8.75" style="286" bestFit="1" customWidth="1"/>
    <col min="16148" max="16384" width="9" style="286"/>
  </cols>
  <sheetData>
    <row r="1" spans="1:21" ht="24.7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</row>
    <row r="2" spans="1:21" ht="24.75">
      <c r="A2" s="1570" t="s">
        <v>85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</row>
    <row r="3" spans="1:21" s="290" customFormat="1" ht="21.75">
      <c r="A3" s="287" t="s">
        <v>0</v>
      </c>
      <c r="B3" s="287"/>
      <c r="C3" s="287"/>
      <c r="D3" s="289"/>
      <c r="E3" s="289"/>
      <c r="F3" s="289"/>
    </row>
    <row r="4" spans="1:21" s="290" customFormat="1" ht="21.75">
      <c r="A4" s="287" t="s">
        <v>1</v>
      </c>
      <c r="B4" s="287"/>
      <c r="C4" s="287"/>
    </row>
    <row r="5" spans="1:21">
      <c r="S5" s="83" t="s">
        <v>86</v>
      </c>
    </row>
    <row r="6" spans="1:21" s="291" customFormat="1" ht="17.25" customHeight="1">
      <c r="A6" s="1587" t="s">
        <v>87</v>
      </c>
      <c r="B6" s="1588"/>
      <c r="C6" s="1755" t="s">
        <v>88</v>
      </c>
      <c r="D6" s="1756" t="s">
        <v>15</v>
      </c>
      <c r="E6" s="1757"/>
      <c r="F6" s="1756" t="s">
        <v>28</v>
      </c>
      <c r="G6" s="1757"/>
      <c r="H6" s="1760" t="s">
        <v>63</v>
      </c>
      <c r="I6" s="1760"/>
      <c r="J6" s="1760"/>
      <c r="K6" s="1760"/>
      <c r="L6" s="1760"/>
      <c r="M6" s="1760"/>
      <c r="N6" s="1760"/>
      <c r="O6" s="1760"/>
      <c r="P6" s="1760"/>
      <c r="Q6" s="1760"/>
      <c r="R6" s="1760"/>
      <c r="S6" s="1755" t="s">
        <v>91</v>
      </c>
    </row>
    <row r="7" spans="1:21" s="291" customFormat="1" ht="17.25" customHeight="1">
      <c r="A7" s="1753"/>
      <c r="B7" s="1754"/>
      <c r="C7" s="1752"/>
      <c r="D7" s="1758"/>
      <c r="E7" s="1759"/>
      <c r="F7" s="1758"/>
      <c r="G7" s="1759"/>
      <c r="H7" s="1578" t="s">
        <v>76</v>
      </c>
      <c r="I7" s="1578" t="s">
        <v>77</v>
      </c>
      <c r="J7" s="1578"/>
      <c r="K7" s="1578"/>
      <c r="L7" s="1752" t="s">
        <v>175</v>
      </c>
      <c r="M7" s="1755" t="s">
        <v>1770</v>
      </c>
      <c r="N7" s="1752" t="s">
        <v>93</v>
      </c>
      <c r="O7" s="1752" t="s">
        <v>94</v>
      </c>
      <c r="P7" s="1620" t="s">
        <v>10</v>
      </c>
      <c r="Q7" s="1577" t="s">
        <v>89</v>
      </c>
      <c r="R7" s="1577" t="s">
        <v>90</v>
      </c>
      <c r="S7" s="1752"/>
    </row>
    <row r="8" spans="1:21" s="291" customFormat="1" ht="45" customHeight="1">
      <c r="A8" s="1589"/>
      <c r="B8" s="1590"/>
      <c r="C8" s="1752"/>
      <c r="D8" s="292" t="s">
        <v>4</v>
      </c>
      <c r="E8" s="292" t="s">
        <v>5</v>
      </c>
      <c r="F8" s="292" t="s">
        <v>4</v>
      </c>
      <c r="G8" s="292" t="s">
        <v>6</v>
      </c>
      <c r="H8" s="1577"/>
      <c r="I8" s="1619"/>
      <c r="J8" s="1619"/>
      <c r="K8" s="1619"/>
      <c r="L8" s="1752" t="s">
        <v>95</v>
      </c>
      <c r="M8" s="1752"/>
      <c r="N8" s="1752"/>
      <c r="O8" s="1752"/>
      <c r="P8" s="1620"/>
      <c r="Q8" s="1583"/>
      <c r="R8" s="1583"/>
      <c r="S8" s="1752"/>
    </row>
    <row r="9" spans="1:21" s="291" customFormat="1" ht="17.25" customHeight="1">
      <c r="A9" s="86" t="s">
        <v>96</v>
      </c>
      <c r="B9" s="86" t="s">
        <v>97</v>
      </c>
      <c r="C9" s="447"/>
      <c r="D9" s="293"/>
      <c r="E9" s="293"/>
      <c r="F9" s="293"/>
      <c r="G9" s="293"/>
      <c r="H9" s="446"/>
      <c r="I9" s="446" t="s">
        <v>78</v>
      </c>
      <c r="J9" s="446" t="s">
        <v>79</v>
      </c>
      <c r="K9" s="446" t="s">
        <v>80</v>
      </c>
      <c r="L9" s="450"/>
      <c r="M9" s="450"/>
      <c r="N9" s="450"/>
      <c r="O9" s="450"/>
      <c r="P9" s="295"/>
      <c r="Q9" s="446"/>
      <c r="R9" s="446"/>
      <c r="S9" s="1752"/>
    </row>
    <row r="10" spans="1:21" s="291" customFormat="1" ht="17.25" customHeight="1" thickBot="1">
      <c r="A10" s="93"/>
      <c r="B10" s="93"/>
      <c r="C10" s="95" t="s">
        <v>11</v>
      </c>
      <c r="D10" s="296"/>
      <c r="E10" s="296"/>
      <c r="F10" s="296"/>
      <c r="G10" s="296"/>
      <c r="H10" s="97"/>
      <c r="I10" s="97"/>
      <c r="J10" s="97"/>
      <c r="K10" s="97"/>
      <c r="L10" s="297"/>
      <c r="M10" s="297"/>
      <c r="N10" s="297"/>
      <c r="O10" s="297"/>
      <c r="P10" s="1521">
        <f>P16+P33</f>
        <v>56853650</v>
      </c>
      <c r="Q10" s="97"/>
      <c r="R10" s="97"/>
      <c r="S10" s="1767"/>
    </row>
    <row r="11" spans="1:21" s="507" customFormat="1" ht="25.5" customHeight="1" thickTop="1">
      <c r="A11" s="502"/>
      <c r="B11" s="502"/>
      <c r="C11" s="971" t="s">
        <v>817</v>
      </c>
      <c r="D11" s="504"/>
      <c r="E11" s="504"/>
      <c r="F11" s="504"/>
      <c r="G11" s="502"/>
      <c r="H11" s="502"/>
      <c r="I11" s="502"/>
      <c r="J11" s="502"/>
      <c r="K11" s="502"/>
      <c r="L11" s="504"/>
      <c r="M11" s="502"/>
      <c r="N11" s="504"/>
      <c r="O11" s="502"/>
      <c r="P11" s="479"/>
      <c r="Q11" s="505"/>
      <c r="R11" s="1070"/>
      <c r="S11" s="1426"/>
    </row>
    <row r="12" spans="1:21" s="515" customFormat="1" ht="25.5" customHeight="1">
      <c r="A12" s="508"/>
      <c r="B12" s="508"/>
      <c r="C12" s="974" t="s">
        <v>1722</v>
      </c>
      <c r="D12" s="510"/>
      <c r="E12" s="510"/>
      <c r="F12" s="510"/>
      <c r="G12" s="510"/>
      <c r="H12" s="510"/>
      <c r="I12" s="510"/>
      <c r="J12" s="510"/>
      <c r="K12" s="510"/>
      <c r="L12" s="511"/>
      <c r="M12" s="512"/>
      <c r="N12" s="511"/>
      <c r="O12" s="512"/>
      <c r="P12" s="483"/>
      <c r="Q12" s="514"/>
      <c r="R12" s="510"/>
      <c r="S12" s="1427"/>
    </row>
    <row r="13" spans="1:21" s="608" customFormat="1" ht="25.5" customHeight="1">
      <c r="A13" s="607"/>
      <c r="C13" s="977" t="s">
        <v>875</v>
      </c>
      <c r="D13" s="594"/>
      <c r="E13" s="594"/>
      <c r="F13" s="594"/>
      <c r="G13" s="594"/>
      <c r="H13" s="594"/>
      <c r="I13" s="594"/>
      <c r="J13" s="594"/>
      <c r="K13" s="594"/>
      <c r="L13" s="604"/>
      <c r="M13" s="604"/>
      <c r="N13" s="604"/>
      <c r="O13" s="604"/>
      <c r="P13" s="1526"/>
      <c r="Q13" s="594"/>
      <c r="R13" s="1069"/>
      <c r="S13" s="1428"/>
    </row>
    <row r="14" spans="1:21" s="608" customFormat="1" ht="24" customHeight="1">
      <c r="A14" s="607"/>
      <c r="C14" s="952" t="s">
        <v>1509</v>
      </c>
      <c r="D14" s="594"/>
      <c r="E14" s="594"/>
      <c r="F14" s="594"/>
      <c r="G14" s="594"/>
      <c r="H14" s="594"/>
      <c r="I14" s="594"/>
      <c r="J14" s="594"/>
      <c r="K14" s="594"/>
      <c r="L14" s="604"/>
      <c r="M14" s="604"/>
      <c r="N14" s="604"/>
      <c r="O14" s="604"/>
      <c r="P14" s="1527"/>
      <c r="Q14" s="940"/>
      <c r="R14" s="1069"/>
      <c r="S14" s="1428"/>
    </row>
    <row r="15" spans="1:21" ht="21" customHeight="1">
      <c r="A15" s="299"/>
      <c r="C15" s="304" t="s">
        <v>1733</v>
      </c>
      <c r="D15" s="300"/>
      <c r="E15" s="300"/>
      <c r="F15" s="300"/>
      <c r="G15" s="300"/>
      <c r="H15" s="300"/>
      <c r="I15" s="300"/>
      <c r="J15" s="300"/>
      <c r="K15" s="300"/>
      <c r="L15" s="301"/>
      <c r="M15" s="301"/>
      <c r="N15" s="301"/>
      <c r="O15" s="301"/>
      <c r="P15" s="344"/>
      <c r="Q15" s="300"/>
      <c r="R15" s="300"/>
      <c r="S15" s="300"/>
    </row>
    <row r="16" spans="1:21" ht="21" customHeight="1">
      <c r="A16" s="299"/>
      <c r="C16" s="308" t="s">
        <v>12</v>
      </c>
      <c r="D16" s="308"/>
      <c r="E16" s="308"/>
      <c r="F16" s="308"/>
      <c r="G16" s="300"/>
      <c r="H16" s="300"/>
      <c r="I16" s="300"/>
      <c r="J16" s="300"/>
      <c r="K16" s="300"/>
      <c r="L16" s="301"/>
      <c r="M16" s="301"/>
      <c r="N16" s="301"/>
      <c r="O16" s="301"/>
      <c r="P16" s="1525">
        <f>P17+P31</f>
        <v>24778800</v>
      </c>
      <c r="Q16" s="300"/>
      <c r="R16" s="300"/>
      <c r="S16" s="300"/>
      <c r="U16" s="1173"/>
    </row>
    <row r="17" spans="1:21" ht="21" customHeight="1">
      <c r="A17" s="299"/>
      <c r="C17" s="309" t="s">
        <v>101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10"/>
      <c r="P17" s="311">
        <f>SUM(P18:P30)</f>
        <v>23698800</v>
      </c>
      <c r="Q17" s="312"/>
      <c r="R17" s="312"/>
      <c r="S17" s="313" t="s">
        <v>178</v>
      </c>
      <c r="U17" s="1173"/>
    </row>
    <row r="18" spans="1:21" ht="21" customHeight="1">
      <c r="A18" s="299"/>
      <c r="C18" s="314" t="s">
        <v>892</v>
      </c>
      <c r="D18" s="301"/>
      <c r="E18" s="301"/>
      <c r="F18" s="301"/>
      <c r="G18" s="301"/>
      <c r="H18" s="353" t="s">
        <v>893</v>
      </c>
      <c r="I18" s="118"/>
      <c r="J18" s="354" t="s">
        <v>104</v>
      </c>
      <c r="K18" s="301"/>
      <c r="L18" s="305">
        <v>7</v>
      </c>
      <c r="M18" s="305">
        <v>15</v>
      </c>
      <c r="N18" s="305">
        <v>9</v>
      </c>
      <c r="O18" s="330">
        <v>80000</v>
      </c>
      <c r="P18" s="355">
        <f>O18*N18*L18</f>
        <v>5040000</v>
      </c>
      <c r="Q18" s="356"/>
      <c r="R18" s="356"/>
      <c r="S18" s="300" t="s">
        <v>894</v>
      </c>
      <c r="U18" s="1173"/>
    </row>
    <row r="19" spans="1:21" ht="21" customHeight="1">
      <c r="A19" s="299"/>
      <c r="C19" s="314" t="s">
        <v>895</v>
      </c>
      <c r="D19" s="301"/>
      <c r="E19" s="301"/>
      <c r="F19" s="301"/>
      <c r="G19" s="301"/>
      <c r="H19" s="353" t="s">
        <v>893</v>
      </c>
      <c r="I19" s="118"/>
      <c r="J19" s="354" t="s">
        <v>104</v>
      </c>
      <c r="K19" s="301"/>
      <c r="L19" s="305">
        <v>7</v>
      </c>
      <c r="M19" s="305">
        <v>10</v>
      </c>
      <c r="N19" s="305">
        <v>9</v>
      </c>
      <c r="O19" s="330">
        <v>60000</v>
      </c>
      <c r="P19" s="355">
        <f t="shared" ref="P19:P30" si="0">O19*N19*L19</f>
        <v>3780000</v>
      </c>
      <c r="Q19" s="356"/>
      <c r="R19" s="356"/>
      <c r="S19" s="300" t="s">
        <v>896</v>
      </c>
      <c r="U19" s="1173"/>
    </row>
    <row r="20" spans="1:21" ht="21" customHeight="1">
      <c r="A20" s="299"/>
      <c r="C20" s="314" t="s">
        <v>897</v>
      </c>
      <c r="D20" s="301"/>
      <c r="E20" s="301"/>
      <c r="F20" s="301"/>
      <c r="G20" s="301"/>
      <c r="H20" s="353" t="s">
        <v>893</v>
      </c>
      <c r="I20" s="118"/>
      <c r="J20" s="354" t="s">
        <v>104</v>
      </c>
      <c r="K20" s="301"/>
      <c r="L20" s="305">
        <v>10</v>
      </c>
      <c r="M20" s="305">
        <v>10</v>
      </c>
      <c r="N20" s="305">
        <v>5</v>
      </c>
      <c r="O20" s="330">
        <v>65000</v>
      </c>
      <c r="P20" s="355">
        <f t="shared" si="0"/>
        <v>3250000</v>
      </c>
      <c r="Q20" s="356"/>
      <c r="R20" s="356"/>
      <c r="S20" s="300" t="s">
        <v>898</v>
      </c>
      <c r="U20" s="1173"/>
    </row>
    <row r="21" spans="1:21" ht="21" customHeight="1">
      <c r="A21" s="299"/>
      <c r="C21" s="314" t="s">
        <v>899</v>
      </c>
      <c r="D21" s="301"/>
      <c r="E21" s="301"/>
      <c r="F21" s="301"/>
      <c r="G21" s="301"/>
      <c r="H21" s="353" t="s">
        <v>893</v>
      </c>
      <c r="I21" s="118"/>
      <c r="J21" s="354" t="s">
        <v>104</v>
      </c>
      <c r="K21" s="301"/>
      <c r="L21" s="305">
        <v>2</v>
      </c>
      <c r="M21" s="305">
        <v>10</v>
      </c>
      <c r="N21" s="305">
        <v>4</v>
      </c>
      <c r="O21" s="330">
        <v>65000</v>
      </c>
      <c r="P21" s="355">
        <f t="shared" si="0"/>
        <v>520000</v>
      </c>
      <c r="Q21" s="356"/>
      <c r="R21" s="356"/>
      <c r="S21" s="300" t="s">
        <v>900</v>
      </c>
      <c r="U21" s="1173"/>
    </row>
    <row r="22" spans="1:21" ht="21" customHeight="1">
      <c r="A22" s="299"/>
      <c r="C22" s="314" t="s">
        <v>901</v>
      </c>
      <c r="D22" s="301"/>
      <c r="E22" s="301"/>
      <c r="F22" s="301"/>
      <c r="G22" s="301"/>
      <c r="H22" s="353" t="s">
        <v>893</v>
      </c>
      <c r="I22" s="118"/>
      <c r="J22" s="354" t="s">
        <v>104</v>
      </c>
      <c r="K22" s="301"/>
      <c r="L22" s="305">
        <v>2</v>
      </c>
      <c r="M22" s="305">
        <v>10</v>
      </c>
      <c r="N22" s="305">
        <v>4</v>
      </c>
      <c r="O22" s="330">
        <v>65000</v>
      </c>
      <c r="P22" s="355">
        <f t="shared" si="0"/>
        <v>520000</v>
      </c>
      <c r="Q22" s="356"/>
      <c r="R22" s="356"/>
      <c r="S22" s="300" t="s">
        <v>902</v>
      </c>
      <c r="U22" s="1173"/>
    </row>
    <row r="23" spans="1:21" ht="21" customHeight="1">
      <c r="A23" s="299"/>
      <c r="C23" s="314" t="s">
        <v>903</v>
      </c>
      <c r="D23" s="301"/>
      <c r="E23" s="301"/>
      <c r="F23" s="301"/>
      <c r="G23" s="301"/>
      <c r="H23" s="353" t="s">
        <v>893</v>
      </c>
      <c r="I23" s="118"/>
      <c r="J23" s="354" t="s">
        <v>104</v>
      </c>
      <c r="K23" s="301"/>
      <c r="L23" s="305">
        <v>2</v>
      </c>
      <c r="M23" s="305">
        <v>10</v>
      </c>
      <c r="N23" s="305">
        <v>4</v>
      </c>
      <c r="O23" s="330">
        <v>65000</v>
      </c>
      <c r="P23" s="355">
        <f t="shared" si="0"/>
        <v>520000</v>
      </c>
      <c r="Q23" s="356"/>
      <c r="R23" s="356"/>
      <c r="S23" s="305" t="s">
        <v>904</v>
      </c>
      <c r="U23" s="1173"/>
    </row>
    <row r="24" spans="1:21" ht="21" customHeight="1">
      <c r="A24" s="299"/>
      <c r="C24" s="282" t="s">
        <v>905</v>
      </c>
      <c r="D24" s="306"/>
      <c r="E24" s="306"/>
      <c r="F24" s="306"/>
      <c r="G24" s="306"/>
      <c r="H24" s="353" t="s">
        <v>600</v>
      </c>
      <c r="I24" s="118"/>
      <c r="J24" s="354" t="s">
        <v>104</v>
      </c>
      <c r="K24" s="306"/>
      <c r="L24" s="305">
        <v>4</v>
      </c>
      <c r="M24" s="305">
        <v>10</v>
      </c>
      <c r="N24" s="305">
        <v>4</v>
      </c>
      <c r="O24" s="330">
        <v>65000</v>
      </c>
      <c r="P24" s="355">
        <f t="shared" si="0"/>
        <v>1040000</v>
      </c>
      <c r="Q24" s="356"/>
      <c r="R24" s="356"/>
      <c r="S24" s="305" t="s">
        <v>906</v>
      </c>
      <c r="U24" s="1173"/>
    </row>
    <row r="25" spans="1:21" s="303" customFormat="1" ht="21" customHeight="1">
      <c r="A25" s="302"/>
      <c r="C25" s="307" t="s">
        <v>907</v>
      </c>
      <c r="D25" s="306"/>
      <c r="E25" s="306"/>
      <c r="F25" s="306"/>
      <c r="G25" s="306"/>
      <c r="H25" s="324" t="s">
        <v>600</v>
      </c>
      <c r="I25" s="118"/>
      <c r="J25" s="354" t="s">
        <v>104</v>
      </c>
      <c r="K25" s="306"/>
      <c r="L25" s="305">
        <v>1</v>
      </c>
      <c r="M25" s="305">
        <v>5</v>
      </c>
      <c r="N25" s="305">
        <v>4</v>
      </c>
      <c r="O25" s="330">
        <v>45000</v>
      </c>
      <c r="P25" s="355">
        <f t="shared" si="0"/>
        <v>180000</v>
      </c>
      <c r="Q25" s="356"/>
      <c r="R25" s="356"/>
      <c r="S25" s="281" t="s">
        <v>908</v>
      </c>
      <c r="U25" s="1173"/>
    </row>
    <row r="26" spans="1:21" s="303" customFormat="1" ht="21" customHeight="1">
      <c r="A26" s="302"/>
      <c r="C26" s="307" t="s">
        <v>909</v>
      </c>
      <c r="D26" s="306"/>
      <c r="E26" s="306"/>
      <c r="F26" s="306"/>
      <c r="G26" s="306"/>
      <c r="H26" s="353" t="s">
        <v>81</v>
      </c>
      <c r="I26" s="118"/>
      <c r="J26" s="354" t="s">
        <v>104</v>
      </c>
      <c r="K26" s="306"/>
      <c r="L26" s="305">
        <v>1</v>
      </c>
      <c r="M26" s="305">
        <v>10</v>
      </c>
      <c r="N26" s="305">
        <v>4</v>
      </c>
      <c r="O26" s="330">
        <v>65000</v>
      </c>
      <c r="P26" s="355">
        <f t="shared" si="0"/>
        <v>260000</v>
      </c>
      <c r="Q26" s="356"/>
      <c r="R26" s="356"/>
      <c r="S26" s="281" t="s">
        <v>910</v>
      </c>
      <c r="U26" s="1173"/>
    </row>
    <row r="27" spans="1:21" s="303" customFormat="1" ht="21" customHeight="1">
      <c r="A27" s="302"/>
      <c r="C27" s="314" t="s">
        <v>911</v>
      </c>
      <c r="D27" s="301"/>
      <c r="E27" s="301"/>
      <c r="F27" s="301"/>
      <c r="G27" s="301"/>
      <c r="H27" s="353" t="s">
        <v>893</v>
      </c>
      <c r="I27" s="354" t="s">
        <v>104</v>
      </c>
      <c r="J27" s="357"/>
      <c r="K27" s="301"/>
      <c r="L27" s="305">
        <v>12</v>
      </c>
      <c r="M27" s="305">
        <v>5</v>
      </c>
      <c r="N27" s="305">
        <v>8</v>
      </c>
      <c r="O27" s="330">
        <v>40000</v>
      </c>
      <c r="P27" s="355">
        <f t="shared" si="0"/>
        <v>3840000</v>
      </c>
      <c r="Q27" s="356"/>
      <c r="R27" s="356"/>
      <c r="S27" s="979" t="s">
        <v>912</v>
      </c>
      <c r="U27" s="1173"/>
    </row>
    <row r="28" spans="1:21" ht="21" customHeight="1">
      <c r="A28" s="299"/>
      <c r="C28" s="314" t="s">
        <v>913</v>
      </c>
      <c r="D28" s="301"/>
      <c r="E28" s="301"/>
      <c r="F28" s="301"/>
      <c r="G28" s="301"/>
      <c r="H28" s="353" t="s">
        <v>808</v>
      </c>
      <c r="I28" s="354" t="s">
        <v>104</v>
      </c>
      <c r="J28" s="357"/>
      <c r="K28" s="301"/>
      <c r="L28" s="305">
        <v>12</v>
      </c>
      <c r="M28" s="305">
        <v>5</v>
      </c>
      <c r="N28" s="305">
        <v>8</v>
      </c>
      <c r="O28" s="330">
        <v>35300</v>
      </c>
      <c r="P28" s="355">
        <f t="shared" si="0"/>
        <v>3388800</v>
      </c>
      <c r="Q28" s="356"/>
      <c r="R28" s="356"/>
      <c r="S28" s="281" t="s">
        <v>914</v>
      </c>
      <c r="U28" s="1173"/>
    </row>
    <row r="29" spans="1:21" ht="21" customHeight="1">
      <c r="A29" s="299"/>
      <c r="C29" s="314" t="s">
        <v>915</v>
      </c>
      <c r="D29" s="301"/>
      <c r="E29" s="301"/>
      <c r="F29" s="301"/>
      <c r="G29" s="301"/>
      <c r="H29" s="353" t="s">
        <v>893</v>
      </c>
      <c r="I29" s="354" t="s">
        <v>104</v>
      </c>
      <c r="J29" s="301"/>
      <c r="K29" s="301"/>
      <c r="L29" s="305">
        <v>12</v>
      </c>
      <c r="M29" s="305">
        <v>5</v>
      </c>
      <c r="N29" s="305">
        <v>2</v>
      </c>
      <c r="O29" s="330">
        <v>40000</v>
      </c>
      <c r="P29" s="355">
        <f t="shared" si="0"/>
        <v>960000</v>
      </c>
      <c r="Q29" s="356"/>
      <c r="R29" s="356"/>
      <c r="S29" s="305" t="s">
        <v>916</v>
      </c>
      <c r="U29" s="1173"/>
    </row>
    <row r="30" spans="1:21" ht="21" customHeight="1">
      <c r="A30" s="344"/>
      <c r="B30" s="1429"/>
      <c r="C30" s="314" t="s">
        <v>917</v>
      </c>
      <c r="D30" s="301"/>
      <c r="E30" s="301"/>
      <c r="F30" s="301"/>
      <c r="G30" s="301"/>
      <c r="H30" s="980" t="s">
        <v>729</v>
      </c>
      <c r="I30" s="354" t="s">
        <v>104</v>
      </c>
      <c r="J30" s="301"/>
      <c r="K30" s="301"/>
      <c r="L30" s="305">
        <v>2</v>
      </c>
      <c r="M30" s="305">
        <v>5</v>
      </c>
      <c r="N30" s="305">
        <v>5</v>
      </c>
      <c r="O30" s="330">
        <v>40000</v>
      </c>
      <c r="P30" s="355">
        <f t="shared" si="0"/>
        <v>400000</v>
      </c>
      <c r="Q30" s="356"/>
      <c r="R30" s="356"/>
      <c r="S30" s="305" t="s">
        <v>918</v>
      </c>
      <c r="U30" s="1173"/>
    </row>
    <row r="31" spans="1:21" ht="21" customHeight="1">
      <c r="A31" s="299"/>
      <c r="C31" s="309" t="s">
        <v>112</v>
      </c>
      <c r="D31" s="301"/>
      <c r="E31" s="301"/>
      <c r="F31" s="301"/>
      <c r="G31" s="301"/>
      <c r="H31" s="301"/>
      <c r="I31" s="301"/>
      <c r="J31" s="301"/>
      <c r="K31" s="301"/>
      <c r="L31" s="333"/>
      <c r="M31" s="333"/>
      <c r="N31" s="333"/>
      <c r="O31" s="358"/>
      <c r="P31" s="320">
        <f>P32</f>
        <v>1080000</v>
      </c>
      <c r="Q31" s="359"/>
      <c r="R31" s="359"/>
      <c r="S31" s="305" t="s">
        <v>919</v>
      </c>
      <c r="U31" s="1173"/>
    </row>
    <row r="32" spans="1:21" ht="21" customHeight="1">
      <c r="A32" s="299"/>
      <c r="C32" s="282" t="s">
        <v>920</v>
      </c>
      <c r="D32" s="306"/>
      <c r="E32" s="306"/>
      <c r="F32" s="306"/>
      <c r="G32" s="306"/>
      <c r="H32" s="353" t="s">
        <v>114</v>
      </c>
      <c r="I32" s="354" t="s">
        <v>104</v>
      </c>
      <c r="J32" s="306"/>
      <c r="K32" s="306"/>
      <c r="L32" s="305">
        <v>8</v>
      </c>
      <c r="M32" s="333">
        <v>3</v>
      </c>
      <c r="N32" s="305">
        <v>9</v>
      </c>
      <c r="O32" s="330">
        <v>15000</v>
      </c>
      <c r="P32" s="360">
        <f>O32*N32*L32</f>
        <v>1080000</v>
      </c>
      <c r="Q32" s="356"/>
      <c r="R32" s="356"/>
      <c r="S32" s="305"/>
      <c r="U32" s="1173"/>
    </row>
    <row r="33" spans="1:22" s="303" customFormat="1" ht="21" customHeight="1">
      <c r="A33" s="302"/>
      <c r="C33" s="309" t="s">
        <v>352</v>
      </c>
      <c r="D33" s="301"/>
      <c r="E33" s="301"/>
      <c r="F33" s="301"/>
      <c r="G33" s="301"/>
      <c r="H33" s="301"/>
      <c r="I33" s="301"/>
      <c r="J33" s="301"/>
      <c r="K33" s="301"/>
      <c r="L33" s="314"/>
      <c r="M33" s="315"/>
      <c r="N33" s="315"/>
      <c r="O33" s="315"/>
      <c r="P33" s="175">
        <f>P34+P46+P93+P138+P173+P209+P231</f>
        <v>32074850</v>
      </c>
      <c r="Q33" s="316"/>
      <c r="R33" s="316"/>
      <c r="S33" s="1152" t="s">
        <v>187</v>
      </c>
      <c r="U33" s="1173"/>
    </row>
    <row r="34" spans="1:22" s="303" customFormat="1" ht="21" customHeight="1">
      <c r="A34" s="302"/>
      <c r="C34" s="361" t="s">
        <v>921</v>
      </c>
      <c r="D34" s="317"/>
      <c r="E34" s="317"/>
      <c r="F34" s="317"/>
      <c r="G34" s="318"/>
      <c r="H34" s="318"/>
      <c r="I34" s="318"/>
      <c r="J34" s="318"/>
      <c r="K34" s="318"/>
      <c r="L34" s="319"/>
      <c r="M34" s="319"/>
      <c r="N34" s="319"/>
      <c r="O34" s="318"/>
      <c r="P34" s="320">
        <f>SUM(P35:P44)</f>
        <v>1480000</v>
      </c>
      <c r="Q34" s="321"/>
      <c r="R34" s="322"/>
      <c r="S34" s="369" t="s">
        <v>922</v>
      </c>
      <c r="U34" s="1173"/>
    </row>
    <row r="35" spans="1:22" s="303" customFormat="1" ht="21" customHeight="1">
      <c r="A35" s="302"/>
      <c r="C35" s="362" t="s">
        <v>923</v>
      </c>
      <c r="D35" s="363"/>
      <c r="E35" s="318"/>
      <c r="F35" s="318"/>
      <c r="G35" s="318"/>
      <c r="H35" s="318"/>
      <c r="I35" s="318"/>
      <c r="J35" s="318"/>
      <c r="K35" s="318"/>
      <c r="L35" s="323">
        <v>100</v>
      </c>
      <c r="M35" s="324" t="s">
        <v>19</v>
      </c>
      <c r="N35" s="325"/>
      <c r="O35" s="323">
        <v>70</v>
      </c>
      <c r="P35" s="326">
        <f>O35*L35</f>
        <v>7000</v>
      </c>
      <c r="Q35" s="266"/>
      <c r="R35" s="327"/>
      <c r="S35" s="369" t="s">
        <v>924</v>
      </c>
      <c r="U35" s="1173"/>
    </row>
    <row r="36" spans="1:22" s="303" customFormat="1" ht="21" customHeight="1">
      <c r="A36" s="302"/>
      <c r="C36" s="981" t="s">
        <v>925</v>
      </c>
      <c r="D36" s="318"/>
      <c r="E36" s="318"/>
      <c r="F36" s="318"/>
      <c r="G36" s="318"/>
      <c r="H36" s="318"/>
      <c r="I36" s="318"/>
      <c r="J36" s="318"/>
      <c r="K36" s="318"/>
      <c r="L36" s="323">
        <v>450</v>
      </c>
      <c r="M36" s="324" t="s">
        <v>17</v>
      </c>
      <c r="N36" s="325"/>
      <c r="O36" s="323">
        <v>240</v>
      </c>
      <c r="P36" s="326">
        <f t="shared" ref="P36:P38" si="1">O36*L36</f>
        <v>108000</v>
      </c>
      <c r="Q36" s="328"/>
      <c r="R36" s="328"/>
      <c r="S36" s="369" t="s">
        <v>926</v>
      </c>
      <c r="U36" s="1173"/>
    </row>
    <row r="37" spans="1:22" s="303" customFormat="1" ht="21" customHeight="1">
      <c r="A37" s="302"/>
      <c r="C37" s="364" t="s">
        <v>927</v>
      </c>
      <c r="D37" s="318"/>
      <c r="E37" s="318"/>
      <c r="F37" s="318"/>
      <c r="G37" s="318"/>
      <c r="H37" s="318"/>
      <c r="I37" s="318"/>
      <c r="J37" s="318"/>
      <c r="K37" s="318"/>
      <c r="L37" s="323">
        <v>450</v>
      </c>
      <c r="M37" s="324" t="s">
        <v>17</v>
      </c>
      <c r="N37" s="325"/>
      <c r="O37" s="323">
        <v>1200</v>
      </c>
      <c r="P37" s="326">
        <f t="shared" si="1"/>
        <v>540000</v>
      </c>
      <c r="Q37" s="328"/>
      <c r="R37" s="328"/>
      <c r="S37" s="369" t="s">
        <v>928</v>
      </c>
      <c r="U37" s="1173"/>
    </row>
    <row r="38" spans="1:22" s="303" customFormat="1" ht="21" customHeight="1">
      <c r="A38" s="302"/>
      <c r="C38" s="982" t="s">
        <v>929</v>
      </c>
      <c r="D38" s="318"/>
      <c r="E38" s="318"/>
      <c r="F38" s="318"/>
      <c r="G38" s="318"/>
      <c r="H38" s="318"/>
      <c r="I38" s="318"/>
      <c r="J38" s="318"/>
      <c r="K38" s="318"/>
      <c r="L38" s="323">
        <v>150</v>
      </c>
      <c r="M38" s="324" t="s">
        <v>385</v>
      </c>
      <c r="N38" s="325"/>
      <c r="O38" s="323">
        <v>2500</v>
      </c>
      <c r="P38" s="326">
        <f t="shared" si="1"/>
        <v>375000</v>
      </c>
      <c r="Q38" s="327"/>
      <c r="R38" s="327"/>
      <c r="S38" s="983" t="s">
        <v>930</v>
      </c>
      <c r="U38" s="1173"/>
    </row>
    <row r="39" spans="1:22" s="303" customFormat="1" ht="21" customHeight="1">
      <c r="A39" s="302"/>
      <c r="C39" s="267" t="s">
        <v>931</v>
      </c>
      <c r="D39" s="363"/>
      <c r="E39" s="318"/>
      <c r="F39" s="318"/>
      <c r="G39" s="318"/>
      <c r="H39" s="318"/>
      <c r="I39" s="318"/>
      <c r="J39" s="318"/>
      <c r="K39" s="318"/>
      <c r="L39" s="323" t="s">
        <v>432</v>
      </c>
      <c r="M39" s="324"/>
      <c r="N39" s="325"/>
      <c r="O39" s="323">
        <v>287000</v>
      </c>
      <c r="P39" s="326">
        <f>O39</f>
        <v>287000</v>
      </c>
      <c r="Q39" s="328"/>
      <c r="R39" s="984"/>
      <c r="S39" s="983" t="s">
        <v>932</v>
      </c>
      <c r="U39" s="1173"/>
    </row>
    <row r="40" spans="1:22" s="303" customFormat="1" ht="21" customHeight="1">
      <c r="A40" s="302"/>
      <c r="C40" s="372" t="s">
        <v>933</v>
      </c>
      <c r="D40" s="371"/>
      <c r="E40" s="317"/>
      <c r="F40" s="318"/>
      <c r="G40" s="318"/>
      <c r="H40" s="318"/>
      <c r="I40" s="318"/>
      <c r="J40" s="318"/>
      <c r="K40" s="318"/>
      <c r="L40" s="323">
        <v>100</v>
      </c>
      <c r="M40" s="324" t="s">
        <v>457</v>
      </c>
      <c r="N40" s="325"/>
      <c r="O40" s="323">
        <v>200</v>
      </c>
      <c r="P40" s="326">
        <f>O40*L40</f>
        <v>20000</v>
      </c>
      <c r="Q40" s="328"/>
      <c r="R40" s="328"/>
      <c r="S40" s="983" t="s">
        <v>934</v>
      </c>
      <c r="U40" s="1173"/>
    </row>
    <row r="41" spans="1:22" s="303" customFormat="1" ht="21" customHeight="1">
      <c r="A41" s="302"/>
      <c r="C41" s="367" t="s">
        <v>935</v>
      </c>
      <c r="D41" s="363"/>
      <c r="E41" s="318"/>
      <c r="F41" s="318"/>
      <c r="G41" s="318"/>
      <c r="H41" s="318"/>
      <c r="I41" s="318"/>
      <c r="J41" s="318"/>
      <c r="K41" s="318"/>
      <c r="L41" s="325">
        <v>10</v>
      </c>
      <c r="M41" s="324" t="s">
        <v>457</v>
      </c>
      <c r="N41" s="325"/>
      <c r="O41" s="323">
        <v>300</v>
      </c>
      <c r="P41" s="326">
        <f t="shared" ref="P41:P43" si="2">O41*L41</f>
        <v>3000</v>
      </c>
      <c r="Q41" s="328"/>
      <c r="R41" s="328"/>
      <c r="S41" s="983" t="s">
        <v>936</v>
      </c>
      <c r="U41" s="1173"/>
    </row>
    <row r="42" spans="1:22" s="303" customFormat="1" ht="21" customHeight="1">
      <c r="A42" s="302"/>
      <c r="C42" s="367" t="s">
        <v>937</v>
      </c>
      <c r="D42" s="363"/>
      <c r="E42" s="318"/>
      <c r="F42" s="318"/>
      <c r="G42" s="318"/>
      <c r="H42" s="318"/>
      <c r="I42" s="318"/>
      <c r="J42" s="318"/>
      <c r="K42" s="318"/>
      <c r="L42" s="325">
        <v>20</v>
      </c>
      <c r="M42" s="324" t="s">
        <v>457</v>
      </c>
      <c r="N42" s="325"/>
      <c r="O42" s="323">
        <v>500</v>
      </c>
      <c r="P42" s="326">
        <f t="shared" si="2"/>
        <v>10000</v>
      </c>
      <c r="Q42" s="328"/>
      <c r="R42" s="328"/>
      <c r="S42" s="983" t="s">
        <v>938</v>
      </c>
      <c r="U42" s="1173"/>
    </row>
    <row r="43" spans="1:22" s="303" customFormat="1" ht="21" customHeight="1">
      <c r="A43" s="302"/>
      <c r="C43" s="367" t="s">
        <v>939</v>
      </c>
      <c r="D43" s="325"/>
      <c r="E43" s="325"/>
      <c r="F43" s="329"/>
      <c r="G43" s="329"/>
      <c r="H43" s="329"/>
      <c r="I43" s="329"/>
      <c r="J43" s="329"/>
      <c r="K43" s="329"/>
      <c r="L43" s="305">
        <v>20</v>
      </c>
      <c r="M43" s="324" t="s">
        <v>457</v>
      </c>
      <c r="N43" s="305"/>
      <c r="O43" s="330">
        <v>1500</v>
      </c>
      <c r="P43" s="326">
        <f t="shared" si="2"/>
        <v>30000</v>
      </c>
      <c r="Q43" s="328"/>
      <c r="R43" s="328"/>
      <c r="S43" s="305"/>
      <c r="U43" s="1173"/>
    </row>
    <row r="44" spans="1:22" s="303" customFormat="1" ht="21" customHeight="1">
      <c r="A44" s="302"/>
      <c r="C44" s="305" t="s">
        <v>940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985"/>
      <c r="P44" s="183">
        <f>P45</f>
        <v>100000</v>
      </c>
      <c r="Q44" s="986"/>
      <c r="R44" s="987"/>
      <c r="S44" s="311"/>
      <c r="U44" s="1173"/>
    </row>
    <row r="45" spans="1:22" s="303" customFormat="1" ht="21" customHeight="1">
      <c r="A45" s="302"/>
      <c r="C45" s="267" t="s">
        <v>941</v>
      </c>
      <c r="D45" s="329"/>
      <c r="E45" s="329"/>
      <c r="F45" s="329"/>
      <c r="G45" s="329"/>
      <c r="H45" s="329"/>
      <c r="I45" s="329"/>
      <c r="J45" s="329"/>
      <c r="K45" s="329"/>
      <c r="L45" s="325" t="s">
        <v>432</v>
      </c>
      <c r="M45" s="325"/>
      <c r="N45" s="325"/>
      <c r="O45" s="323">
        <v>100000</v>
      </c>
      <c r="P45" s="335">
        <v>100000</v>
      </c>
      <c r="Q45" s="331"/>
      <c r="R45" s="331"/>
      <c r="S45" s="988"/>
      <c r="U45" s="1173"/>
    </row>
    <row r="46" spans="1:22" s="303" customFormat="1" ht="21" customHeight="1">
      <c r="A46" s="302"/>
      <c r="C46" s="361" t="s">
        <v>942</v>
      </c>
      <c r="D46" s="317"/>
      <c r="E46" s="317"/>
      <c r="F46" s="318"/>
      <c r="G46" s="318"/>
      <c r="H46" s="318"/>
      <c r="I46" s="318"/>
      <c r="J46" s="318"/>
      <c r="K46" s="318"/>
      <c r="L46" s="319"/>
      <c r="M46" s="319"/>
      <c r="N46" s="319"/>
      <c r="O46" s="318"/>
      <c r="P46" s="365">
        <f>P47+P51+P55+P63+P69+P76+P84+P89</f>
        <v>2027510</v>
      </c>
      <c r="Q46" s="332"/>
      <c r="R46" s="332"/>
      <c r="S46" s="989"/>
      <c r="U46" s="1173"/>
      <c r="V46" s="1524">
        <f>U47+U51+U55+U63+U69+U76+U84+U89</f>
        <v>0</v>
      </c>
    </row>
    <row r="47" spans="1:22" s="303" customFormat="1" ht="21" customHeight="1">
      <c r="A47" s="302"/>
      <c r="C47" s="366" t="s">
        <v>943</v>
      </c>
      <c r="D47" s="325"/>
      <c r="E47" s="325"/>
      <c r="F47" s="329"/>
      <c r="G47" s="329"/>
      <c r="H47" s="329"/>
      <c r="I47" s="329"/>
      <c r="J47" s="329"/>
      <c r="K47" s="329"/>
      <c r="L47" s="325"/>
      <c r="M47" s="333"/>
      <c r="N47" s="305"/>
      <c r="O47" s="330"/>
      <c r="P47" s="320">
        <f>SUM(P48:P50)</f>
        <v>60000</v>
      </c>
      <c r="Q47" s="334"/>
      <c r="R47" s="334"/>
      <c r="S47" s="305"/>
      <c r="U47" s="1173"/>
    </row>
    <row r="48" spans="1:22" s="303" customFormat="1" ht="21" customHeight="1">
      <c r="A48" s="302"/>
      <c r="C48" s="267" t="s">
        <v>944</v>
      </c>
      <c r="D48" s="363"/>
      <c r="E48" s="318"/>
      <c r="F48" s="318"/>
      <c r="G48" s="318"/>
      <c r="H48" s="318"/>
      <c r="I48" s="318"/>
      <c r="J48" s="318"/>
      <c r="K48" s="318"/>
      <c r="L48" s="325" t="s">
        <v>432</v>
      </c>
      <c r="M48" s="324"/>
      <c r="N48" s="325"/>
      <c r="O48" s="323">
        <v>30000</v>
      </c>
      <c r="P48" s="326">
        <f>O48</f>
        <v>30000</v>
      </c>
      <c r="Q48" s="328"/>
      <c r="R48" s="328"/>
      <c r="S48" s="990"/>
      <c r="U48" s="1173"/>
    </row>
    <row r="49" spans="1:21" s="303" customFormat="1" ht="21" customHeight="1">
      <c r="A49" s="302"/>
      <c r="C49" s="367" t="s">
        <v>945</v>
      </c>
      <c r="D49" s="363"/>
      <c r="E49" s="318"/>
      <c r="F49" s="318"/>
      <c r="G49" s="318"/>
      <c r="H49" s="318"/>
      <c r="I49" s="318"/>
      <c r="J49" s="318"/>
      <c r="K49" s="318"/>
      <c r="L49" s="325">
        <v>500</v>
      </c>
      <c r="M49" s="325" t="s">
        <v>19</v>
      </c>
      <c r="N49" s="325"/>
      <c r="O49" s="323">
        <v>50</v>
      </c>
      <c r="P49" s="335">
        <f>O49*L49</f>
        <v>25000</v>
      </c>
      <c r="Q49" s="331"/>
      <c r="R49" s="331"/>
      <c r="S49" s="305"/>
      <c r="U49" s="1173"/>
    </row>
    <row r="50" spans="1:21" s="303" customFormat="1" ht="21" customHeight="1">
      <c r="A50" s="302"/>
      <c r="C50" s="372" t="s">
        <v>946</v>
      </c>
      <c r="D50" s="373"/>
      <c r="E50" s="318"/>
      <c r="F50" s="318"/>
      <c r="G50" s="318"/>
      <c r="H50" s="318"/>
      <c r="I50" s="318"/>
      <c r="J50" s="318"/>
      <c r="K50" s="318"/>
      <c r="L50" s="325">
        <v>500</v>
      </c>
      <c r="M50" s="325" t="s">
        <v>19</v>
      </c>
      <c r="N50" s="325"/>
      <c r="O50" s="323">
        <v>10</v>
      </c>
      <c r="P50" s="335">
        <f>O50*L50</f>
        <v>5000</v>
      </c>
      <c r="Q50" s="331"/>
      <c r="R50" s="331"/>
      <c r="S50" s="305"/>
      <c r="U50" s="1173"/>
    </row>
    <row r="51" spans="1:21" s="303" customFormat="1" ht="21" customHeight="1">
      <c r="A51" s="302"/>
      <c r="C51" s="370" t="s">
        <v>947</v>
      </c>
      <c r="D51" s="371"/>
      <c r="E51" s="317"/>
      <c r="F51" s="317"/>
      <c r="G51" s="318"/>
      <c r="H51" s="318"/>
      <c r="I51" s="318"/>
      <c r="J51" s="318"/>
      <c r="K51" s="318"/>
      <c r="L51" s="323"/>
      <c r="M51" s="324"/>
      <c r="N51" s="325"/>
      <c r="O51" s="323"/>
      <c r="P51" s="337">
        <f>SUM(P52:P54)</f>
        <v>136400</v>
      </c>
      <c r="Q51" s="336"/>
      <c r="R51" s="336"/>
      <c r="S51" s="990"/>
      <c r="U51" s="1173"/>
    </row>
    <row r="52" spans="1:21" s="303" customFormat="1" ht="21" customHeight="1">
      <c r="A52" s="302"/>
      <c r="C52" s="367" t="s">
        <v>948</v>
      </c>
      <c r="D52" s="363"/>
      <c r="E52" s="318"/>
      <c r="F52" s="318"/>
      <c r="G52" s="318"/>
      <c r="H52" s="318"/>
      <c r="I52" s="318"/>
      <c r="J52" s="318"/>
      <c r="K52" s="318"/>
      <c r="L52" s="323">
        <v>60</v>
      </c>
      <c r="M52" s="324" t="s">
        <v>949</v>
      </c>
      <c r="N52" s="325"/>
      <c r="O52" s="323">
        <v>240</v>
      </c>
      <c r="P52" s="326">
        <f>O52*L52</f>
        <v>14400</v>
      </c>
      <c r="Q52" s="328"/>
      <c r="R52" s="328"/>
      <c r="S52" s="305"/>
      <c r="U52" s="1173"/>
    </row>
    <row r="53" spans="1:21" s="303" customFormat="1" ht="21" customHeight="1">
      <c r="A53" s="302"/>
      <c r="C53" s="300" t="s">
        <v>950</v>
      </c>
      <c r="D53" s="329"/>
      <c r="E53" s="329"/>
      <c r="F53" s="329"/>
      <c r="G53" s="329"/>
      <c r="H53" s="329"/>
      <c r="I53" s="329"/>
      <c r="J53" s="329"/>
      <c r="K53" s="329"/>
      <c r="L53" s="325">
        <v>60</v>
      </c>
      <c r="M53" s="324" t="s">
        <v>949</v>
      </c>
      <c r="N53" s="325"/>
      <c r="O53" s="323">
        <v>1200</v>
      </c>
      <c r="P53" s="326">
        <f t="shared" ref="P53:P54" si="3">O53*L53</f>
        <v>72000</v>
      </c>
      <c r="Q53" s="328"/>
      <c r="R53" s="328"/>
      <c r="S53" s="305"/>
      <c r="U53" s="1173"/>
    </row>
    <row r="54" spans="1:21" s="303" customFormat="1" ht="21" customHeight="1">
      <c r="A54" s="302"/>
      <c r="C54" s="345" t="s">
        <v>951</v>
      </c>
      <c r="D54" s="363"/>
      <c r="E54" s="318"/>
      <c r="F54" s="318"/>
      <c r="G54" s="318"/>
      <c r="H54" s="318"/>
      <c r="I54" s="318"/>
      <c r="J54" s="318"/>
      <c r="K54" s="318"/>
      <c r="L54" s="323">
        <v>20</v>
      </c>
      <c r="M54" s="324" t="s">
        <v>952</v>
      </c>
      <c r="N54" s="325"/>
      <c r="O54" s="323">
        <v>2500</v>
      </c>
      <c r="P54" s="326">
        <f t="shared" si="3"/>
        <v>50000</v>
      </c>
      <c r="Q54" s="327"/>
      <c r="R54" s="327"/>
      <c r="S54" s="305"/>
      <c r="U54" s="1173"/>
    </row>
    <row r="55" spans="1:21" s="303" customFormat="1" ht="21" customHeight="1">
      <c r="A55" s="302"/>
      <c r="C55" s="370" t="s">
        <v>953</v>
      </c>
      <c r="D55" s="363"/>
      <c r="E55" s="318"/>
      <c r="F55" s="318"/>
      <c r="G55" s="318"/>
      <c r="H55" s="318"/>
      <c r="I55" s="318"/>
      <c r="J55" s="318"/>
      <c r="K55" s="318"/>
      <c r="L55" s="323"/>
      <c r="M55" s="324"/>
      <c r="N55" s="325"/>
      <c r="O55" s="323"/>
      <c r="P55" s="337">
        <f>SUM(P56:P62)</f>
        <v>833800</v>
      </c>
      <c r="Q55" s="336"/>
      <c r="R55" s="336"/>
      <c r="S55" s="305"/>
      <c r="U55" s="1173"/>
    </row>
    <row r="56" spans="1:21" s="303" customFormat="1" ht="21" customHeight="1">
      <c r="A56" s="1096"/>
      <c r="B56" s="1097"/>
      <c r="C56" s="267" t="s">
        <v>954</v>
      </c>
      <c r="D56" s="363"/>
      <c r="E56" s="318"/>
      <c r="F56" s="318"/>
      <c r="G56" s="318"/>
      <c r="H56" s="318"/>
      <c r="I56" s="318"/>
      <c r="J56" s="318"/>
      <c r="K56" s="318"/>
      <c r="L56" s="323">
        <v>20</v>
      </c>
      <c r="M56" s="324" t="s">
        <v>371</v>
      </c>
      <c r="N56" s="325"/>
      <c r="O56" s="323">
        <v>30000</v>
      </c>
      <c r="P56" s="326">
        <f>O56*L56</f>
        <v>600000</v>
      </c>
      <c r="Q56" s="328"/>
      <c r="R56" s="328"/>
      <c r="S56" s="990"/>
      <c r="U56" s="1173"/>
    </row>
    <row r="57" spans="1:21" s="303" customFormat="1" ht="21" customHeight="1">
      <c r="A57" s="302"/>
      <c r="C57" s="367" t="s">
        <v>955</v>
      </c>
      <c r="D57" s="363"/>
      <c r="E57" s="318"/>
      <c r="F57" s="318"/>
      <c r="G57" s="318"/>
      <c r="H57" s="318"/>
      <c r="I57" s="318"/>
      <c r="J57" s="318"/>
      <c r="K57" s="318"/>
      <c r="L57" s="325">
        <v>40</v>
      </c>
      <c r="M57" s="325" t="s">
        <v>956</v>
      </c>
      <c r="N57" s="325"/>
      <c r="O57" s="323">
        <v>1200</v>
      </c>
      <c r="P57" s="326">
        <f t="shared" ref="P57:P62" si="4">O57*L57</f>
        <v>48000</v>
      </c>
      <c r="Q57" s="328"/>
      <c r="R57" s="328"/>
      <c r="S57" s="305"/>
      <c r="U57" s="1173"/>
    </row>
    <row r="58" spans="1:21" s="303" customFormat="1" ht="21" customHeight="1">
      <c r="A58" s="302"/>
      <c r="C58" s="367" t="s">
        <v>957</v>
      </c>
      <c r="D58" s="363"/>
      <c r="E58" s="318"/>
      <c r="F58" s="318"/>
      <c r="G58" s="318"/>
      <c r="H58" s="318"/>
      <c r="I58" s="318"/>
      <c r="J58" s="318"/>
      <c r="K58" s="318"/>
      <c r="L58" s="325">
        <v>40</v>
      </c>
      <c r="M58" s="325" t="s">
        <v>956</v>
      </c>
      <c r="N58" s="325"/>
      <c r="O58" s="323">
        <v>1200</v>
      </c>
      <c r="P58" s="326">
        <f t="shared" si="4"/>
        <v>48000</v>
      </c>
      <c r="Q58" s="328"/>
      <c r="R58" s="328"/>
      <c r="S58" s="305"/>
      <c r="U58" s="1173"/>
    </row>
    <row r="59" spans="1:21" s="303" customFormat="1" ht="21" customHeight="1">
      <c r="A59" s="302"/>
      <c r="C59" s="345" t="s">
        <v>958</v>
      </c>
      <c r="D59" s="363"/>
      <c r="E59" s="318"/>
      <c r="F59" s="318"/>
      <c r="G59" s="318"/>
      <c r="H59" s="318"/>
      <c r="I59" s="318"/>
      <c r="J59" s="318"/>
      <c r="K59" s="318"/>
      <c r="L59" s="325">
        <v>20</v>
      </c>
      <c r="M59" s="325" t="s">
        <v>959</v>
      </c>
      <c r="N59" s="325"/>
      <c r="O59" s="323">
        <v>70</v>
      </c>
      <c r="P59" s="326">
        <f t="shared" si="4"/>
        <v>1400</v>
      </c>
      <c r="Q59" s="328"/>
      <c r="R59" s="328"/>
      <c r="S59" s="305"/>
      <c r="U59" s="1173"/>
    </row>
    <row r="60" spans="1:21" s="303" customFormat="1" ht="21" customHeight="1">
      <c r="A60" s="302"/>
      <c r="C60" s="367" t="s">
        <v>960</v>
      </c>
      <c r="D60" s="363"/>
      <c r="E60" s="318"/>
      <c r="F60" s="318"/>
      <c r="G60" s="318"/>
      <c r="H60" s="318"/>
      <c r="I60" s="318"/>
      <c r="J60" s="318"/>
      <c r="K60" s="318"/>
      <c r="L60" s="323">
        <v>60</v>
      </c>
      <c r="M60" s="324" t="s">
        <v>17</v>
      </c>
      <c r="N60" s="325"/>
      <c r="O60" s="323">
        <v>240</v>
      </c>
      <c r="P60" s="326">
        <f t="shared" si="4"/>
        <v>14400</v>
      </c>
      <c r="Q60" s="328"/>
      <c r="R60" s="328"/>
      <c r="S60" s="305"/>
      <c r="U60" s="1173"/>
    </row>
    <row r="61" spans="1:21" s="303" customFormat="1" ht="21" customHeight="1">
      <c r="A61" s="302"/>
      <c r="C61" s="300" t="s">
        <v>961</v>
      </c>
      <c r="D61" s="329"/>
      <c r="E61" s="329"/>
      <c r="F61" s="329"/>
      <c r="G61" s="329"/>
      <c r="H61" s="329"/>
      <c r="I61" s="329"/>
      <c r="J61" s="329"/>
      <c r="K61" s="329"/>
      <c r="L61" s="325">
        <v>60</v>
      </c>
      <c r="M61" s="324" t="s">
        <v>17</v>
      </c>
      <c r="N61" s="325"/>
      <c r="O61" s="323">
        <v>1200</v>
      </c>
      <c r="P61" s="326">
        <f t="shared" si="4"/>
        <v>72000</v>
      </c>
      <c r="Q61" s="328"/>
      <c r="R61" s="328"/>
      <c r="S61" s="305"/>
      <c r="U61" s="1173"/>
    </row>
    <row r="62" spans="1:21" s="303" customFormat="1" ht="21" customHeight="1">
      <c r="A62" s="302"/>
      <c r="C62" s="345" t="s">
        <v>962</v>
      </c>
      <c r="D62" s="363"/>
      <c r="E62" s="318"/>
      <c r="F62" s="318"/>
      <c r="G62" s="318"/>
      <c r="H62" s="318"/>
      <c r="I62" s="318"/>
      <c r="J62" s="318"/>
      <c r="K62" s="318"/>
      <c r="L62" s="323">
        <v>20</v>
      </c>
      <c r="M62" s="324" t="s">
        <v>385</v>
      </c>
      <c r="N62" s="325"/>
      <c r="O62" s="323">
        <v>2500</v>
      </c>
      <c r="P62" s="326">
        <f t="shared" si="4"/>
        <v>50000</v>
      </c>
      <c r="Q62" s="327"/>
      <c r="R62" s="327"/>
      <c r="S62" s="305"/>
      <c r="U62" s="1173"/>
    </row>
    <row r="63" spans="1:21" s="303" customFormat="1" ht="21" customHeight="1">
      <c r="A63" s="302"/>
      <c r="C63" s="370" t="s">
        <v>963</v>
      </c>
      <c r="D63" s="371"/>
      <c r="E63" s="317"/>
      <c r="F63" s="318"/>
      <c r="G63" s="318"/>
      <c r="H63" s="318"/>
      <c r="I63" s="318"/>
      <c r="J63" s="318"/>
      <c r="K63" s="318"/>
      <c r="L63" s="323"/>
      <c r="M63" s="324"/>
      <c r="N63" s="325"/>
      <c r="O63" s="323"/>
      <c r="P63" s="337">
        <f>SUM(P64:P68)</f>
        <v>232400</v>
      </c>
      <c r="Q63" s="336"/>
      <c r="R63" s="336"/>
      <c r="S63" s="305"/>
      <c r="U63" s="1173"/>
    </row>
    <row r="64" spans="1:21" s="303" customFormat="1" ht="21" customHeight="1">
      <c r="A64" s="302"/>
      <c r="C64" s="367" t="s">
        <v>964</v>
      </c>
      <c r="D64" s="363"/>
      <c r="E64" s="318"/>
      <c r="F64" s="318"/>
      <c r="G64" s="318"/>
      <c r="H64" s="318"/>
      <c r="I64" s="318"/>
      <c r="J64" s="318"/>
      <c r="K64" s="318"/>
      <c r="L64" s="325">
        <v>40</v>
      </c>
      <c r="M64" s="325" t="s">
        <v>956</v>
      </c>
      <c r="N64" s="325"/>
      <c r="O64" s="323">
        <v>1200</v>
      </c>
      <c r="P64" s="335">
        <f>O64*L64</f>
        <v>48000</v>
      </c>
      <c r="Q64" s="331"/>
      <c r="R64" s="331"/>
      <c r="S64" s="305"/>
      <c r="U64" s="1173"/>
    </row>
    <row r="65" spans="1:21" s="303" customFormat="1" ht="21" customHeight="1">
      <c r="A65" s="302"/>
      <c r="C65" s="367" t="s">
        <v>965</v>
      </c>
      <c r="D65" s="363"/>
      <c r="E65" s="318"/>
      <c r="F65" s="318"/>
      <c r="G65" s="318"/>
      <c r="H65" s="318"/>
      <c r="I65" s="318"/>
      <c r="J65" s="318"/>
      <c r="K65" s="318"/>
      <c r="L65" s="325">
        <v>40</v>
      </c>
      <c r="M65" s="325" t="s">
        <v>956</v>
      </c>
      <c r="N65" s="325"/>
      <c r="O65" s="323">
        <v>1200</v>
      </c>
      <c r="P65" s="335">
        <f t="shared" ref="P65:P68" si="5">O65*L65</f>
        <v>48000</v>
      </c>
      <c r="Q65" s="331"/>
      <c r="R65" s="331"/>
      <c r="S65" s="305"/>
      <c r="U65" s="1173"/>
    </row>
    <row r="66" spans="1:21" s="303" customFormat="1" ht="21" customHeight="1">
      <c r="A66" s="302"/>
      <c r="C66" s="367" t="s">
        <v>966</v>
      </c>
      <c r="D66" s="363"/>
      <c r="E66" s="318"/>
      <c r="F66" s="318"/>
      <c r="G66" s="318"/>
      <c r="H66" s="318"/>
      <c r="I66" s="318"/>
      <c r="J66" s="318"/>
      <c r="K66" s="318"/>
      <c r="L66" s="323">
        <v>60</v>
      </c>
      <c r="M66" s="324" t="s">
        <v>17</v>
      </c>
      <c r="N66" s="325"/>
      <c r="O66" s="323">
        <v>240</v>
      </c>
      <c r="P66" s="335">
        <f t="shared" si="5"/>
        <v>14400</v>
      </c>
      <c r="Q66" s="331"/>
      <c r="R66" s="331"/>
      <c r="S66" s="305"/>
      <c r="U66" s="1173"/>
    </row>
    <row r="67" spans="1:21" s="303" customFormat="1" ht="21" customHeight="1">
      <c r="A67" s="302"/>
      <c r="C67" s="300" t="s">
        <v>967</v>
      </c>
      <c r="D67" s="329"/>
      <c r="E67" s="329"/>
      <c r="F67" s="329"/>
      <c r="G67" s="329"/>
      <c r="H67" s="329"/>
      <c r="I67" s="329"/>
      <c r="J67" s="329"/>
      <c r="K67" s="329"/>
      <c r="L67" s="325">
        <v>60</v>
      </c>
      <c r="M67" s="324" t="s">
        <v>17</v>
      </c>
      <c r="N67" s="325"/>
      <c r="O67" s="323">
        <v>1200</v>
      </c>
      <c r="P67" s="335">
        <f t="shared" si="5"/>
        <v>72000</v>
      </c>
      <c r="Q67" s="331"/>
      <c r="R67" s="331"/>
      <c r="S67" s="305"/>
      <c r="U67" s="1173"/>
    </row>
    <row r="68" spans="1:21" s="303" customFormat="1" ht="21" customHeight="1">
      <c r="A68" s="302"/>
      <c r="C68" s="345" t="s">
        <v>968</v>
      </c>
      <c r="D68" s="363"/>
      <c r="E68" s="318"/>
      <c r="F68" s="318"/>
      <c r="G68" s="318"/>
      <c r="H68" s="318"/>
      <c r="I68" s="318"/>
      <c r="J68" s="318"/>
      <c r="K68" s="318"/>
      <c r="L68" s="323">
        <v>20</v>
      </c>
      <c r="M68" s="324" t="s">
        <v>385</v>
      </c>
      <c r="N68" s="325"/>
      <c r="O68" s="323">
        <v>2500</v>
      </c>
      <c r="P68" s="335">
        <f t="shared" si="5"/>
        <v>50000</v>
      </c>
      <c r="Q68" s="991"/>
      <c r="R68" s="991"/>
      <c r="S68" s="305"/>
      <c r="U68" s="1173"/>
    </row>
    <row r="69" spans="1:21" s="303" customFormat="1" ht="21" customHeight="1">
      <c r="A69" s="302"/>
      <c r="C69" s="370" t="s">
        <v>969</v>
      </c>
      <c r="D69" s="363"/>
      <c r="E69" s="318"/>
      <c r="F69" s="318"/>
      <c r="G69" s="318"/>
      <c r="H69" s="318"/>
      <c r="I69" s="318"/>
      <c r="J69" s="318"/>
      <c r="K69" s="318"/>
      <c r="L69" s="323"/>
      <c r="M69" s="324"/>
      <c r="N69" s="325"/>
      <c r="O69" s="323"/>
      <c r="P69" s="337">
        <f>SUM(P70:P75)</f>
        <v>84860</v>
      </c>
      <c r="Q69" s="338"/>
      <c r="R69" s="338"/>
      <c r="S69" s="305"/>
      <c r="U69" s="1173"/>
    </row>
    <row r="70" spans="1:21" s="303" customFormat="1" ht="21" customHeight="1">
      <c r="A70" s="302"/>
      <c r="C70" s="362" t="s">
        <v>970</v>
      </c>
      <c r="D70" s="363"/>
      <c r="E70" s="318"/>
      <c r="F70" s="318"/>
      <c r="G70" s="318"/>
      <c r="H70" s="318"/>
      <c r="I70" s="318"/>
      <c r="J70" s="318"/>
      <c r="K70" s="318"/>
      <c r="L70" s="323">
        <v>100</v>
      </c>
      <c r="M70" s="324" t="s">
        <v>19</v>
      </c>
      <c r="N70" s="325"/>
      <c r="O70" s="323">
        <v>70</v>
      </c>
      <c r="P70" s="326">
        <f>O70*L70</f>
        <v>7000</v>
      </c>
      <c r="Q70" s="327"/>
      <c r="R70" s="327"/>
      <c r="S70" s="305"/>
      <c r="U70" s="1173"/>
    </row>
    <row r="71" spans="1:21" s="303" customFormat="1" ht="21" customHeight="1">
      <c r="A71" s="302"/>
      <c r="C71" s="372" t="s">
        <v>971</v>
      </c>
      <c r="D71" s="373"/>
      <c r="E71" s="318"/>
      <c r="F71" s="318"/>
      <c r="G71" s="318"/>
      <c r="H71" s="318"/>
      <c r="I71" s="318"/>
      <c r="J71" s="318"/>
      <c r="K71" s="318"/>
      <c r="L71" s="323">
        <v>100</v>
      </c>
      <c r="M71" s="324" t="s">
        <v>361</v>
      </c>
      <c r="N71" s="325"/>
      <c r="O71" s="323">
        <v>600</v>
      </c>
      <c r="P71" s="326">
        <f t="shared" ref="P71:P75" si="6">O71*L71</f>
        <v>60000</v>
      </c>
      <c r="Q71" s="328"/>
      <c r="R71" s="328"/>
      <c r="S71" s="305"/>
      <c r="U71" s="1173"/>
    </row>
    <row r="72" spans="1:21" s="303" customFormat="1" ht="21" customHeight="1">
      <c r="A72" s="302"/>
      <c r="C72" s="364" t="s">
        <v>972</v>
      </c>
      <c r="D72" s="318"/>
      <c r="E72" s="318"/>
      <c r="F72" s="318"/>
      <c r="G72" s="318"/>
      <c r="H72" s="318"/>
      <c r="I72" s="318"/>
      <c r="J72" s="318"/>
      <c r="K72" s="318"/>
      <c r="L72" s="323">
        <v>7</v>
      </c>
      <c r="M72" s="324" t="s">
        <v>367</v>
      </c>
      <c r="N72" s="325"/>
      <c r="O72" s="323">
        <v>1200</v>
      </c>
      <c r="P72" s="326">
        <f t="shared" si="6"/>
        <v>8400</v>
      </c>
      <c r="Q72" s="328"/>
      <c r="R72" s="328"/>
      <c r="S72" s="305"/>
      <c r="U72" s="1173"/>
    </row>
    <row r="73" spans="1:21" s="303" customFormat="1" ht="21" customHeight="1">
      <c r="A73" s="302"/>
      <c r="C73" s="367" t="s">
        <v>973</v>
      </c>
      <c r="D73" s="363"/>
      <c r="E73" s="318"/>
      <c r="F73" s="318"/>
      <c r="G73" s="318"/>
      <c r="H73" s="318"/>
      <c r="I73" s="318"/>
      <c r="J73" s="318"/>
      <c r="K73" s="318"/>
      <c r="L73" s="323">
        <v>4</v>
      </c>
      <c r="M73" s="324" t="s">
        <v>17</v>
      </c>
      <c r="N73" s="325"/>
      <c r="O73" s="323">
        <v>240</v>
      </c>
      <c r="P73" s="326">
        <f t="shared" si="6"/>
        <v>960</v>
      </c>
      <c r="Q73" s="339"/>
      <c r="R73" s="339"/>
      <c r="S73" s="305"/>
      <c r="U73" s="1173"/>
    </row>
    <row r="74" spans="1:21" s="303" customFormat="1" ht="21" customHeight="1">
      <c r="A74" s="302"/>
      <c r="C74" s="300" t="s">
        <v>974</v>
      </c>
      <c r="D74" s="329"/>
      <c r="E74" s="329"/>
      <c r="F74" s="329"/>
      <c r="G74" s="329"/>
      <c r="H74" s="329"/>
      <c r="I74" s="329"/>
      <c r="J74" s="329"/>
      <c r="K74" s="329"/>
      <c r="L74" s="325">
        <v>5</v>
      </c>
      <c r="M74" s="324" t="s">
        <v>17</v>
      </c>
      <c r="N74" s="325"/>
      <c r="O74" s="323">
        <v>1200</v>
      </c>
      <c r="P74" s="326">
        <f t="shared" si="6"/>
        <v>6000</v>
      </c>
      <c r="Q74" s="328"/>
      <c r="R74" s="328"/>
      <c r="S74" s="305"/>
      <c r="U74" s="1173"/>
    </row>
    <row r="75" spans="1:21" s="303" customFormat="1" ht="21" customHeight="1">
      <c r="A75" s="302"/>
      <c r="C75" s="345" t="s">
        <v>975</v>
      </c>
      <c r="D75" s="363"/>
      <c r="E75" s="318"/>
      <c r="F75" s="318"/>
      <c r="G75" s="318"/>
      <c r="H75" s="318"/>
      <c r="I75" s="318"/>
      <c r="J75" s="318"/>
      <c r="K75" s="318"/>
      <c r="L75" s="323">
        <v>1</v>
      </c>
      <c r="M75" s="324" t="s">
        <v>385</v>
      </c>
      <c r="N75" s="325"/>
      <c r="O75" s="323">
        <v>2500</v>
      </c>
      <c r="P75" s="326">
        <f t="shared" si="6"/>
        <v>2500</v>
      </c>
      <c r="Q75" s="984"/>
      <c r="R75" s="327"/>
      <c r="S75" s="305"/>
      <c r="U75" s="1173"/>
    </row>
    <row r="76" spans="1:21" s="303" customFormat="1" ht="21" customHeight="1">
      <c r="A76" s="302"/>
      <c r="C76" s="370" t="s">
        <v>976</v>
      </c>
      <c r="D76" s="363"/>
      <c r="E76" s="318"/>
      <c r="F76" s="318"/>
      <c r="G76" s="318"/>
      <c r="H76" s="318"/>
      <c r="I76" s="318"/>
      <c r="J76" s="318"/>
      <c r="K76" s="318"/>
      <c r="L76" s="323"/>
      <c r="M76" s="324"/>
      <c r="N76" s="325"/>
      <c r="O76" s="323"/>
      <c r="P76" s="337">
        <f>SUM(P77:P83)</f>
        <v>334860</v>
      </c>
      <c r="Q76" s="338"/>
      <c r="R76" s="340"/>
      <c r="S76" s="305"/>
      <c r="U76" s="1173"/>
    </row>
    <row r="77" spans="1:21" s="303" customFormat="1" ht="21" customHeight="1">
      <c r="A77" s="302"/>
      <c r="C77" s="367" t="s">
        <v>977</v>
      </c>
      <c r="D77" s="363"/>
      <c r="E77" s="318"/>
      <c r="F77" s="318"/>
      <c r="G77" s="318"/>
      <c r="H77" s="318"/>
      <c r="I77" s="318"/>
      <c r="J77" s="318"/>
      <c r="K77" s="318"/>
      <c r="L77" s="323">
        <v>500</v>
      </c>
      <c r="M77" s="324" t="s">
        <v>46</v>
      </c>
      <c r="N77" s="325"/>
      <c r="O77" s="323">
        <v>500</v>
      </c>
      <c r="P77" s="326">
        <f>O77*L77</f>
        <v>250000</v>
      </c>
      <c r="Q77" s="328"/>
      <c r="R77" s="328"/>
      <c r="S77" s="305"/>
      <c r="U77" s="1173"/>
    </row>
    <row r="78" spans="1:21" s="303" customFormat="1" ht="21" customHeight="1">
      <c r="A78" s="302"/>
      <c r="C78" s="362" t="s">
        <v>978</v>
      </c>
      <c r="D78" s="363"/>
      <c r="E78" s="318"/>
      <c r="F78" s="318"/>
      <c r="G78" s="318"/>
      <c r="H78" s="318"/>
      <c r="I78" s="318"/>
      <c r="J78" s="318"/>
      <c r="K78" s="318"/>
      <c r="L78" s="323">
        <v>100</v>
      </c>
      <c r="M78" s="324" t="s">
        <v>19</v>
      </c>
      <c r="N78" s="325"/>
      <c r="O78" s="323">
        <v>70</v>
      </c>
      <c r="P78" s="326">
        <f t="shared" ref="P78:P83" si="7">O78*L78</f>
        <v>7000</v>
      </c>
      <c r="Q78" s="327"/>
      <c r="R78" s="327"/>
      <c r="S78" s="305"/>
      <c r="U78" s="1173"/>
    </row>
    <row r="79" spans="1:21" s="303" customFormat="1" ht="21" customHeight="1">
      <c r="A79" s="302"/>
      <c r="C79" s="372" t="s">
        <v>979</v>
      </c>
      <c r="D79" s="373"/>
      <c r="E79" s="318"/>
      <c r="F79" s="318"/>
      <c r="G79" s="318"/>
      <c r="H79" s="318"/>
      <c r="I79" s="318"/>
      <c r="J79" s="318"/>
      <c r="K79" s="318"/>
      <c r="L79" s="323">
        <v>100</v>
      </c>
      <c r="M79" s="324" t="s">
        <v>361</v>
      </c>
      <c r="N79" s="325"/>
      <c r="O79" s="323">
        <v>600</v>
      </c>
      <c r="P79" s="326">
        <f t="shared" si="7"/>
        <v>60000</v>
      </c>
      <c r="Q79" s="328"/>
      <c r="R79" s="328"/>
      <c r="S79" s="305"/>
      <c r="U79" s="1173"/>
    </row>
    <row r="80" spans="1:21" s="303" customFormat="1" ht="21" customHeight="1">
      <c r="A80" s="302"/>
      <c r="C80" s="364" t="s">
        <v>980</v>
      </c>
      <c r="D80" s="318"/>
      <c r="E80" s="318"/>
      <c r="F80" s="318"/>
      <c r="G80" s="318"/>
      <c r="H80" s="318"/>
      <c r="I80" s="318"/>
      <c r="J80" s="318"/>
      <c r="K80" s="318"/>
      <c r="L80" s="323">
        <v>7</v>
      </c>
      <c r="M80" s="324" t="s">
        <v>367</v>
      </c>
      <c r="N80" s="325"/>
      <c r="O80" s="323">
        <v>1200</v>
      </c>
      <c r="P80" s="326">
        <f t="shared" si="7"/>
        <v>8400</v>
      </c>
      <c r="Q80" s="328"/>
      <c r="R80" s="328"/>
      <c r="S80" s="305"/>
      <c r="U80" s="1173"/>
    </row>
    <row r="81" spans="1:21" s="303" customFormat="1" ht="21" customHeight="1">
      <c r="A81" s="302"/>
      <c r="C81" s="367" t="s">
        <v>981</v>
      </c>
      <c r="D81" s="363"/>
      <c r="E81" s="318"/>
      <c r="F81" s="318"/>
      <c r="G81" s="318"/>
      <c r="H81" s="318"/>
      <c r="I81" s="318"/>
      <c r="J81" s="318"/>
      <c r="K81" s="318"/>
      <c r="L81" s="323">
        <v>4</v>
      </c>
      <c r="M81" s="324" t="s">
        <v>17</v>
      </c>
      <c r="N81" s="325"/>
      <c r="O81" s="323">
        <v>240</v>
      </c>
      <c r="P81" s="326">
        <f t="shared" si="7"/>
        <v>960</v>
      </c>
      <c r="Q81" s="339"/>
      <c r="R81" s="339"/>
      <c r="S81" s="305"/>
      <c r="U81" s="1173"/>
    </row>
    <row r="82" spans="1:21" s="303" customFormat="1" ht="21" customHeight="1">
      <c r="A82" s="1096"/>
      <c r="B82" s="1097"/>
      <c r="C82" s="300" t="s">
        <v>982</v>
      </c>
      <c r="D82" s="329"/>
      <c r="E82" s="329"/>
      <c r="F82" s="329"/>
      <c r="G82" s="329"/>
      <c r="H82" s="329"/>
      <c r="I82" s="329"/>
      <c r="J82" s="329"/>
      <c r="K82" s="329"/>
      <c r="L82" s="325">
        <v>5</v>
      </c>
      <c r="M82" s="324" t="s">
        <v>17</v>
      </c>
      <c r="N82" s="325"/>
      <c r="O82" s="323">
        <v>1200</v>
      </c>
      <c r="P82" s="326">
        <f t="shared" si="7"/>
        <v>6000</v>
      </c>
      <c r="Q82" s="328"/>
      <c r="R82" s="992"/>
      <c r="S82" s="305"/>
      <c r="U82" s="1173"/>
    </row>
    <row r="83" spans="1:21" s="303" customFormat="1" ht="21" customHeight="1">
      <c r="A83" s="302"/>
      <c r="C83" s="345" t="s">
        <v>983</v>
      </c>
      <c r="D83" s="363"/>
      <c r="E83" s="318"/>
      <c r="F83" s="318"/>
      <c r="G83" s="318"/>
      <c r="H83" s="318"/>
      <c r="I83" s="318"/>
      <c r="J83" s="318"/>
      <c r="K83" s="318"/>
      <c r="L83" s="323">
        <v>1</v>
      </c>
      <c r="M83" s="324" t="s">
        <v>385</v>
      </c>
      <c r="N83" s="325"/>
      <c r="O83" s="323">
        <v>2500</v>
      </c>
      <c r="P83" s="326">
        <f t="shared" si="7"/>
        <v>2500</v>
      </c>
      <c r="Q83" s="327"/>
      <c r="R83" s="327"/>
      <c r="S83" s="305"/>
      <c r="U83" s="1173"/>
    </row>
    <row r="84" spans="1:21" s="303" customFormat="1" ht="21" customHeight="1">
      <c r="A84" s="302"/>
      <c r="C84" s="370" t="s">
        <v>984</v>
      </c>
      <c r="D84" s="363"/>
      <c r="E84" s="318"/>
      <c r="F84" s="318"/>
      <c r="G84" s="318"/>
      <c r="H84" s="318"/>
      <c r="I84" s="318"/>
      <c r="J84" s="318"/>
      <c r="K84" s="318"/>
      <c r="L84" s="323"/>
      <c r="M84" s="324"/>
      <c r="N84" s="325"/>
      <c r="O84" s="323"/>
      <c r="P84" s="337">
        <f>SUM(P85:P88)</f>
        <v>57000</v>
      </c>
      <c r="Q84" s="336"/>
      <c r="R84" s="336"/>
      <c r="S84" s="305"/>
      <c r="U84" s="1173"/>
    </row>
    <row r="85" spans="1:21" s="303" customFormat="1" ht="21" customHeight="1">
      <c r="A85" s="302"/>
      <c r="C85" s="374" t="s">
        <v>985</v>
      </c>
      <c r="D85" s="371"/>
      <c r="E85" s="317"/>
      <c r="F85" s="318"/>
      <c r="G85" s="318"/>
      <c r="H85" s="318"/>
      <c r="I85" s="318"/>
      <c r="J85" s="318"/>
      <c r="K85" s="318"/>
      <c r="L85" s="323">
        <v>100</v>
      </c>
      <c r="M85" s="324" t="s">
        <v>457</v>
      </c>
      <c r="N85" s="325"/>
      <c r="O85" s="323">
        <v>100</v>
      </c>
      <c r="P85" s="326">
        <f>O85*L85</f>
        <v>10000</v>
      </c>
      <c r="Q85" s="328"/>
      <c r="R85" s="328"/>
      <c r="S85" s="305"/>
      <c r="U85" s="1173"/>
    </row>
    <row r="86" spans="1:21" s="303" customFormat="1" ht="21" customHeight="1">
      <c r="A86" s="302"/>
      <c r="C86" s="367" t="s">
        <v>986</v>
      </c>
      <c r="D86" s="363"/>
      <c r="E86" s="318"/>
      <c r="F86" s="318"/>
      <c r="G86" s="318"/>
      <c r="H86" s="318"/>
      <c r="I86" s="318"/>
      <c r="J86" s="318"/>
      <c r="K86" s="318"/>
      <c r="L86" s="325">
        <v>10</v>
      </c>
      <c r="M86" s="324" t="s">
        <v>457</v>
      </c>
      <c r="N86" s="325"/>
      <c r="O86" s="323">
        <v>500</v>
      </c>
      <c r="P86" s="326">
        <f t="shared" ref="P86:P88" si="8">O86*L86</f>
        <v>5000</v>
      </c>
      <c r="Q86" s="328"/>
      <c r="R86" s="328"/>
      <c r="S86" s="305"/>
      <c r="U86" s="1173"/>
    </row>
    <row r="87" spans="1:21" s="303" customFormat="1" ht="21" customHeight="1">
      <c r="A87" s="302"/>
      <c r="C87" s="367" t="s">
        <v>987</v>
      </c>
      <c r="D87" s="363"/>
      <c r="E87" s="318"/>
      <c r="F87" s="318"/>
      <c r="G87" s="318"/>
      <c r="H87" s="318"/>
      <c r="I87" s="318"/>
      <c r="J87" s="318"/>
      <c r="K87" s="318"/>
      <c r="L87" s="325">
        <v>20</v>
      </c>
      <c r="M87" s="324" t="s">
        <v>457</v>
      </c>
      <c r="N87" s="325"/>
      <c r="O87" s="323">
        <v>600</v>
      </c>
      <c r="P87" s="326">
        <f t="shared" si="8"/>
        <v>12000</v>
      </c>
      <c r="Q87" s="328"/>
      <c r="R87" s="328"/>
      <c r="S87" s="305"/>
      <c r="U87" s="1173"/>
    </row>
    <row r="88" spans="1:21" s="303" customFormat="1" ht="21" customHeight="1">
      <c r="A88" s="302"/>
      <c r="C88" s="367" t="s">
        <v>988</v>
      </c>
      <c r="D88" s="306"/>
      <c r="E88" s="306"/>
      <c r="F88" s="306"/>
      <c r="G88" s="306"/>
      <c r="H88" s="306"/>
      <c r="I88" s="306"/>
      <c r="J88" s="306"/>
      <c r="K88" s="306"/>
      <c r="L88" s="305">
        <v>20</v>
      </c>
      <c r="M88" s="324" t="s">
        <v>457</v>
      </c>
      <c r="N88" s="305"/>
      <c r="O88" s="330">
        <v>1500</v>
      </c>
      <c r="P88" s="326">
        <f t="shared" si="8"/>
        <v>30000</v>
      </c>
      <c r="Q88" s="328"/>
      <c r="R88" s="328"/>
      <c r="S88" s="305"/>
      <c r="U88" s="1173"/>
    </row>
    <row r="89" spans="1:21" s="303" customFormat="1" ht="21" customHeight="1">
      <c r="A89" s="302"/>
      <c r="C89" s="993" t="s">
        <v>989</v>
      </c>
      <c r="D89" s="329"/>
      <c r="E89" s="329"/>
      <c r="F89" s="329"/>
      <c r="G89" s="329"/>
      <c r="H89" s="329"/>
      <c r="I89" s="329"/>
      <c r="J89" s="329"/>
      <c r="K89" s="329"/>
      <c r="L89" s="1522"/>
      <c r="M89" s="1522"/>
      <c r="N89" s="1522"/>
      <c r="O89" s="1523"/>
      <c r="P89" s="175">
        <f>SUM(P90:P92)</f>
        <v>288190</v>
      </c>
      <c r="Q89" s="341"/>
      <c r="R89" s="341"/>
      <c r="S89" s="305"/>
      <c r="U89" s="1173"/>
    </row>
    <row r="90" spans="1:21" s="303" customFormat="1" ht="21" customHeight="1">
      <c r="A90" s="302"/>
      <c r="C90" s="267" t="s">
        <v>941</v>
      </c>
      <c r="D90" s="329"/>
      <c r="E90" s="329"/>
      <c r="F90" s="329"/>
      <c r="G90" s="329"/>
      <c r="H90" s="329"/>
      <c r="I90" s="329"/>
      <c r="J90" s="329"/>
      <c r="K90" s="329"/>
      <c r="L90" s="325" t="s">
        <v>432</v>
      </c>
      <c r="M90" s="325"/>
      <c r="N90" s="325"/>
      <c r="O90" s="323">
        <v>120000</v>
      </c>
      <c r="P90" s="335">
        <v>120000</v>
      </c>
      <c r="Q90" s="331"/>
      <c r="R90" s="331"/>
      <c r="S90" s="305"/>
      <c r="U90" s="1173"/>
    </row>
    <row r="91" spans="1:21" s="303" customFormat="1" ht="21" customHeight="1">
      <c r="A91" s="302"/>
      <c r="C91" s="267" t="s">
        <v>990</v>
      </c>
      <c r="D91" s="329"/>
      <c r="E91" s="329"/>
      <c r="F91" s="329"/>
      <c r="G91" s="329"/>
      <c r="H91" s="329"/>
      <c r="I91" s="329"/>
      <c r="J91" s="329"/>
      <c r="K91" s="329"/>
      <c r="L91" s="325"/>
      <c r="M91" s="325"/>
      <c r="N91" s="325"/>
      <c r="O91" s="323">
        <v>100000</v>
      </c>
      <c r="P91" s="335">
        <v>100000</v>
      </c>
      <c r="Q91" s="331"/>
      <c r="R91" s="331"/>
      <c r="S91" s="305"/>
      <c r="U91" s="1173"/>
    </row>
    <row r="92" spans="1:21" s="303" customFormat="1" ht="21" customHeight="1">
      <c r="A92" s="302"/>
      <c r="C92" s="267" t="s">
        <v>991</v>
      </c>
      <c r="D92" s="329"/>
      <c r="E92" s="329"/>
      <c r="F92" s="329"/>
      <c r="G92" s="329"/>
      <c r="H92" s="329"/>
      <c r="I92" s="329"/>
      <c r="J92" s="329"/>
      <c r="K92" s="329"/>
      <c r="L92" s="325" t="s">
        <v>432</v>
      </c>
      <c r="M92" s="325"/>
      <c r="N92" s="325"/>
      <c r="O92" s="323">
        <v>68190</v>
      </c>
      <c r="P92" s="335">
        <v>68190</v>
      </c>
      <c r="Q92" s="342"/>
      <c r="R92" s="342"/>
      <c r="S92" s="305"/>
      <c r="U92" s="1173"/>
    </row>
    <row r="93" spans="1:21" s="303" customFormat="1" ht="21" customHeight="1">
      <c r="A93" s="302"/>
      <c r="C93" s="375" t="s">
        <v>992</v>
      </c>
      <c r="D93" s="317"/>
      <c r="E93" s="317"/>
      <c r="F93" s="317"/>
      <c r="G93" s="317"/>
      <c r="H93" s="317"/>
      <c r="I93" s="318"/>
      <c r="J93" s="318"/>
      <c r="K93" s="318"/>
      <c r="L93" s="319"/>
      <c r="M93" s="319"/>
      <c r="N93" s="319"/>
      <c r="O93" s="318"/>
      <c r="P93" s="365">
        <f>P94+P101+P108+P114+P119+P122+P129+P134</f>
        <v>4475790</v>
      </c>
      <c r="Q93" s="332"/>
      <c r="R93" s="332"/>
      <c r="S93" s="305"/>
      <c r="U93" s="1173"/>
    </row>
    <row r="94" spans="1:21" s="303" customFormat="1" ht="21" customHeight="1">
      <c r="A94" s="302"/>
      <c r="C94" s="994" t="s">
        <v>993</v>
      </c>
      <c r="D94" s="325"/>
      <c r="E94" s="325"/>
      <c r="F94" s="325"/>
      <c r="G94" s="325"/>
      <c r="H94" s="329"/>
      <c r="I94" s="329"/>
      <c r="J94" s="329"/>
      <c r="K94" s="329"/>
      <c r="L94" s="305"/>
      <c r="M94" s="333"/>
      <c r="N94" s="305"/>
      <c r="O94" s="330"/>
      <c r="P94" s="320">
        <f>SUM(P95:P100)</f>
        <v>84860</v>
      </c>
      <c r="Q94" s="995"/>
      <c r="R94" s="995"/>
      <c r="S94" s="305"/>
      <c r="U94" s="1173"/>
    </row>
    <row r="95" spans="1:21" s="303" customFormat="1" ht="21" customHeight="1">
      <c r="A95" s="302"/>
      <c r="C95" s="362" t="s">
        <v>994</v>
      </c>
      <c r="D95" s="363"/>
      <c r="E95" s="318"/>
      <c r="F95" s="318"/>
      <c r="G95" s="318"/>
      <c r="H95" s="318"/>
      <c r="I95" s="318"/>
      <c r="J95" s="318"/>
      <c r="K95" s="318"/>
      <c r="L95" s="323">
        <v>100</v>
      </c>
      <c r="M95" s="324" t="s">
        <v>19</v>
      </c>
      <c r="N95" s="325"/>
      <c r="O95" s="323">
        <v>70</v>
      </c>
      <c r="P95" s="326">
        <f>O95*L95</f>
        <v>7000</v>
      </c>
      <c r="Q95" s="343"/>
      <c r="R95" s="327"/>
      <c r="S95" s="305"/>
      <c r="U95" s="1173"/>
    </row>
    <row r="96" spans="1:21" s="303" customFormat="1" ht="21" customHeight="1">
      <c r="A96" s="302"/>
      <c r="C96" s="372" t="s">
        <v>995</v>
      </c>
      <c r="D96" s="373"/>
      <c r="E96" s="318"/>
      <c r="F96" s="318"/>
      <c r="G96" s="318"/>
      <c r="H96" s="318"/>
      <c r="I96" s="318"/>
      <c r="J96" s="318"/>
      <c r="K96" s="318"/>
      <c r="L96" s="323">
        <v>100</v>
      </c>
      <c r="M96" s="324" t="s">
        <v>361</v>
      </c>
      <c r="N96" s="325"/>
      <c r="O96" s="323">
        <v>600</v>
      </c>
      <c r="P96" s="326">
        <f t="shared" ref="P96:P100" si="9">O96*L96</f>
        <v>60000</v>
      </c>
      <c r="Q96" s="328"/>
      <c r="R96" s="328"/>
      <c r="S96" s="305"/>
      <c r="U96" s="1173"/>
    </row>
    <row r="97" spans="1:21" s="303" customFormat="1" ht="21" customHeight="1">
      <c r="A97" s="302"/>
      <c r="C97" s="364" t="s">
        <v>996</v>
      </c>
      <c r="D97" s="318"/>
      <c r="E97" s="318"/>
      <c r="F97" s="318"/>
      <c r="G97" s="318"/>
      <c r="H97" s="318"/>
      <c r="I97" s="318"/>
      <c r="J97" s="318"/>
      <c r="K97" s="318"/>
      <c r="L97" s="323">
        <v>7</v>
      </c>
      <c r="M97" s="324" t="s">
        <v>367</v>
      </c>
      <c r="N97" s="325"/>
      <c r="O97" s="323">
        <v>1200</v>
      </c>
      <c r="P97" s="326">
        <f t="shared" si="9"/>
        <v>8400</v>
      </c>
      <c r="Q97" s="328"/>
      <c r="R97" s="328"/>
      <c r="S97" s="305"/>
      <c r="U97" s="1173"/>
    </row>
    <row r="98" spans="1:21" s="303" customFormat="1" ht="21" customHeight="1">
      <c r="A98" s="302"/>
      <c r="C98" s="367" t="s">
        <v>997</v>
      </c>
      <c r="D98" s="363"/>
      <c r="E98" s="318"/>
      <c r="F98" s="318"/>
      <c r="G98" s="318"/>
      <c r="H98" s="318"/>
      <c r="I98" s="318"/>
      <c r="J98" s="318"/>
      <c r="K98" s="318"/>
      <c r="L98" s="323">
        <v>4</v>
      </c>
      <c r="M98" s="324" t="s">
        <v>17</v>
      </c>
      <c r="N98" s="325"/>
      <c r="O98" s="323">
        <v>240</v>
      </c>
      <c r="P98" s="326">
        <f t="shared" si="9"/>
        <v>960</v>
      </c>
      <c r="Q98" s="339"/>
      <c r="R98" s="339"/>
      <c r="S98" s="305"/>
      <c r="U98" s="1173"/>
    </row>
    <row r="99" spans="1:21" s="303" customFormat="1" ht="21" customHeight="1">
      <c r="A99" s="302"/>
      <c r="C99" s="300" t="s">
        <v>974</v>
      </c>
      <c r="D99" s="329"/>
      <c r="E99" s="329"/>
      <c r="F99" s="329"/>
      <c r="G99" s="329"/>
      <c r="H99" s="329"/>
      <c r="I99" s="329"/>
      <c r="J99" s="329"/>
      <c r="K99" s="329"/>
      <c r="L99" s="325">
        <v>5</v>
      </c>
      <c r="M99" s="324" t="s">
        <v>17</v>
      </c>
      <c r="N99" s="325"/>
      <c r="O99" s="323">
        <v>1200</v>
      </c>
      <c r="P99" s="326">
        <f t="shared" si="9"/>
        <v>6000</v>
      </c>
      <c r="Q99" s="328"/>
      <c r="R99" s="328"/>
      <c r="S99" s="305"/>
      <c r="U99" s="1173"/>
    </row>
    <row r="100" spans="1:21" s="303" customFormat="1" ht="21" customHeight="1">
      <c r="A100" s="302"/>
      <c r="C100" s="345" t="s">
        <v>975</v>
      </c>
      <c r="D100" s="363"/>
      <c r="E100" s="318"/>
      <c r="F100" s="318"/>
      <c r="G100" s="318"/>
      <c r="H100" s="318"/>
      <c r="I100" s="318"/>
      <c r="J100" s="318"/>
      <c r="K100" s="318"/>
      <c r="L100" s="323">
        <v>1</v>
      </c>
      <c r="M100" s="324" t="s">
        <v>385</v>
      </c>
      <c r="N100" s="325"/>
      <c r="O100" s="323">
        <v>2500</v>
      </c>
      <c r="P100" s="326">
        <f t="shared" si="9"/>
        <v>2500</v>
      </c>
      <c r="Q100" s="327"/>
      <c r="R100" s="327"/>
      <c r="S100" s="305"/>
      <c r="U100" s="1173"/>
    </row>
    <row r="101" spans="1:21" ht="21" customHeight="1">
      <c r="A101" s="299"/>
      <c r="C101" s="370" t="s">
        <v>998</v>
      </c>
      <c r="D101" s="371"/>
      <c r="E101" s="317"/>
      <c r="F101" s="317"/>
      <c r="G101" s="317"/>
      <c r="H101" s="317"/>
      <c r="I101" s="318"/>
      <c r="J101" s="318"/>
      <c r="K101" s="318"/>
      <c r="L101" s="323"/>
      <c r="M101" s="324"/>
      <c r="N101" s="325"/>
      <c r="O101" s="323"/>
      <c r="P101" s="337">
        <f>SUM(P102:P107)</f>
        <v>192180</v>
      </c>
      <c r="Q101" s="338"/>
      <c r="R101" s="338"/>
      <c r="S101" s="305"/>
      <c r="U101" s="1173"/>
    </row>
    <row r="102" spans="1:21" s="303" customFormat="1" ht="21" customHeight="1">
      <c r="A102" s="302"/>
      <c r="C102" s="362" t="s">
        <v>999</v>
      </c>
      <c r="D102" s="363"/>
      <c r="E102" s="318"/>
      <c r="F102" s="318"/>
      <c r="G102" s="318"/>
      <c r="H102" s="318"/>
      <c r="I102" s="318"/>
      <c r="J102" s="318"/>
      <c r="K102" s="318"/>
      <c r="L102" s="323">
        <v>180</v>
      </c>
      <c r="M102" s="324" t="s">
        <v>1000</v>
      </c>
      <c r="N102" s="325"/>
      <c r="O102" s="323">
        <v>70</v>
      </c>
      <c r="P102" s="326">
        <f>O102*L102</f>
        <v>12600</v>
      </c>
      <c r="Q102" s="327"/>
      <c r="R102" s="327"/>
      <c r="S102" s="305"/>
      <c r="U102" s="1173"/>
    </row>
    <row r="103" spans="1:21" s="303" customFormat="1" ht="21" customHeight="1">
      <c r="A103" s="302"/>
      <c r="C103" s="372" t="s">
        <v>1001</v>
      </c>
      <c r="D103" s="373"/>
      <c r="E103" s="318"/>
      <c r="F103" s="318"/>
      <c r="G103" s="318"/>
      <c r="H103" s="318"/>
      <c r="I103" s="318"/>
      <c r="J103" s="318"/>
      <c r="K103" s="318"/>
      <c r="L103" s="323">
        <v>180</v>
      </c>
      <c r="M103" s="324" t="s">
        <v>1002</v>
      </c>
      <c r="N103" s="325"/>
      <c r="O103" s="323">
        <v>600</v>
      </c>
      <c r="P103" s="326">
        <f t="shared" ref="P103:P107" si="10">O103*L103</f>
        <v>108000</v>
      </c>
      <c r="Q103" s="328"/>
      <c r="R103" s="328"/>
      <c r="S103" s="305"/>
      <c r="U103" s="1173"/>
    </row>
    <row r="104" spans="1:21" s="303" customFormat="1" ht="21" customHeight="1">
      <c r="A104" s="302"/>
      <c r="C104" s="364" t="s">
        <v>1003</v>
      </c>
      <c r="D104" s="318"/>
      <c r="E104" s="318"/>
      <c r="F104" s="318"/>
      <c r="G104" s="318"/>
      <c r="H104" s="318"/>
      <c r="I104" s="318"/>
      <c r="J104" s="318"/>
      <c r="K104" s="318"/>
      <c r="L104" s="323">
        <v>21</v>
      </c>
      <c r="M104" s="324" t="s">
        <v>367</v>
      </c>
      <c r="N104" s="325"/>
      <c r="O104" s="323">
        <v>1200</v>
      </c>
      <c r="P104" s="326">
        <f t="shared" si="10"/>
        <v>25200</v>
      </c>
      <c r="Q104" s="328"/>
      <c r="R104" s="328"/>
      <c r="S104" s="305"/>
      <c r="U104" s="1173"/>
    </row>
    <row r="105" spans="1:21" s="303" customFormat="1" ht="21" customHeight="1">
      <c r="A105" s="302"/>
      <c r="C105" s="367" t="s">
        <v>1004</v>
      </c>
      <c r="D105" s="363"/>
      <c r="E105" s="318"/>
      <c r="F105" s="318"/>
      <c r="G105" s="318"/>
      <c r="H105" s="318"/>
      <c r="I105" s="318"/>
      <c r="J105" s="318"/>
      <c r="K105" s="318"/>
      <c r="L105" s="323">
        <v>12</v>
      </c>
      <c r="M105" s="324" t="s">
        <v>17</v>
      </c>
      <c r="N105" s="325"/>
      <c r="O105" s="323">
        <v>240</v>
      </c>
      <c r="P105" s="326">
        <f t="shared" si="10"/>
        <v>2880</v>
      </c>
      <c r="Q105" s="339"/>
      <c r="R105" s="339"/>
      <c r="S105" s="305"/>
      <c r="U105" s="1173"/>
    </row>
    <row r="106" spans="1:21" s="303" customFormat="1" ht="21" customHeight="1">
      <c r="A106" s="302"/>
      <c r="C106" s="300" t="s">
        <v>1005</v>
      </c>
      <c r="D106" s="329"/>
      <c r="E106" s="329"/>
      <c r="F106" s="329"/>
      <c r="G106" s="329"/>
      <c r="H106" s="329"/>
      <c r="I106" s="329"/>
      <c r="J106" s="329"/>
      <c r="K106" s="329"/>
      <c r="L106" s="325">
        <v>30</v>
      </c>
      <c r="M106" s="324" t="s">
        <v>17</v>
      </c>
      <c r="N106" s="325"/>
      <c r="O106" s="323">
        <v>1200</v>
      </c>
      <c r="P106" s="326">
        <f t="shared" si="10"/>
        <v>36000</v>
      </c>
      <c r="Q106" s="328"/>
      <c r="R106" s="328"/>
      <c r="S106" s="305"/>
      <c r="U106" s="1173"/>
    </row>
    <row r="107" spans="1:21" s="303" customFormat="1" ht="21" customHeight="1">
      <c r="A107" s="302"/>
      <c r="C107" s="345" t="s">
        <v>1006</v>
      </c>
      <c r="D107" s="363"/>
      <c r="E107" s="318"/>
      <c r="F107" s="318"/>
      <c r="G107" s="318"/>
      <c r="H107" s="318"/>
      <c r="I107" s="318"/>
      <c r="J107" s="318"/>
      <c r="K107" s="318"/>
      <c r="L107" s="323">
        <v>3</v>
      </c>
      <c r="M107" s="324" t="s">
        <v>385</v>
      </c>
      <c r="N107" s="325"/>
      <c r="O107" s="323">
        <v>2500</v>
      </c>
      <c r="P107" s="326">
        <f t="shared" si="10"/>
        <v>7500</v>
      </c>
      <c r="Q107" s="327"/>
      <c r="R107" s="327"/>
      <c r="S107" s="305"/>
      <c r="U107" s="1173"/>
    </row>
    <row r="108" spans="1:21" s="303" customFormat="1" ht="21" customHeight="1">
      <c r="A108" s="1096"/>
      <c r="B108" s="1097"/>
      <c r="C108" s="368" t="s">
        <v>1007</v>
      </c>
      <c r="D108" s="371"/>
      <c r="E108" s="317"/>
      <c r="F108" s="317"/>
      <c r="G108" s="317"/>
      <c r="H108" s="317"/>
      <c r="I108" s="317"/>
      <c r="J108" s="317"/>
      <c r="K108" s="317"/>
      <c r="L108" s="323"/>
      <c r="M108" s="324"/>
      <c r="N108" s="325"/>
      <c r="O108" s="323"/>
      <c r="P108" s="337">
        <f>SUM(P109:P113)</f>
        <v>1954500</v>
      </c>
      <c r="Q108" s="336"/>
      <c r="R108" s="336"/>
      <c r="S108" s="305"/>
      <c r="U108" s="1173"/>
    </row>
    <row r="109" spans="1:21" s="303" customFormat="1" ht="21" customHeight="1">
      <c r="A109" s="302"/>
      <c r="C109" s="362" t="s">
        <v>1008</v>
      </c>
      <c r="D109" s="363"/>
      <c r="E109" s="318"/>
      <c r="F109" s="318"/>
      <c r="G109" s="318"/>
      <c r="H109" s="318"/>
      <c r="I109" s="318"/>
      <c r="J109" s="318"/>
      <c r="K109" s="318"/>
      <c r="L109" s="323">
        <v>450</v>
      </c>
      <c r="M109" s="324" t="s">
        <v>1000</v>
      </c>
      <c r="N109" s="325"/>
      <c r="O109" s="323">
        <v>70</v>
      </c>
      <c r="P109" s="326">
        <f>O109*L109</f>
        <v>31500</v>
      </c>
      <c r="Q109" s="327"/>
      <c r="R109" s="327"/>
      <c r="S109" s="305"/>
      <c r="U109" s="1173"/>
    </row>
    <row r="110" spans="1:21" s="303" customFormat="1" ht="21" customHeight="1">
      <c r="A110" s="302"/>
      <c r="C110" s="367" t="s">
        <v>1009</v>
      </c>
      <c r="D110" s="363"/>
      <c r="E110" s="318"/>
      <c r="F110" s="318"/>
      <c r="G110" s="318"/>
      <c r="H110" s="318"/>
      <c r="I110" s="318"/>
      <c r="J110" s="318"/>
      <c r="K110" s="318"/>
      <c r="L110" s="323">
        <v>480</v>
      </c>
      <c r="M110" s="324" t="s">
        <v>1010</v>
      </c>
      <c r="N110" s="325"/>
      <c r="O110" s="323">
        <v>1200</v>
      </c>
      <c r="P110" s="326">
        <f t="shared" ref="P110:P113" si="11">O110*L110</f>
        <v>576000</v>
      </c>
      <c r="Q110" s="328"/>
      <c r="R110" s="328"/>
      <c r="S110" s="305"/>
      <c r="U110" s="1173"/>
    </row>
    <row r="111" spans="1:21" s="303" customFormat="1" ht="21" customHeight="1">
      <c r="A111" s="302"/>
      <c r="C111" s="367" t="s">
        <v>1011</v>
      </c>
      <c r="D111" s="363"/>
      <c r="E111" s="318"/>
      <c r="F111" s="318"/>
      <c r="G111" s="318"/>
      <c r="H111" s="318"/>
      <c r="I111" s="318"/>
      <c r="J111" s="318"/>
      <c r="K111" s="318"/>
      <c r="L111" s="323">
        <v>300</v>
      </c>
      <c r="M111" s="324" t="s">
        <v>17</v>
      </c>
      <c r="N111" s="325"/>
      <c r="O111" s="323">
        <v>240</v>
      </c>
      <c r="P111" s="326">
        <f t="shared" si="11"/>
        <v>72000</v>
      </c>
      <c r="Q111" s="328"/>
      <c r="R111" s="328"/>
      <c r="S111" s="305"/>
      <c r="U111" s="1173"/>
    </row>
    <row r="112" spans="1:21" s="303" customFormat="1" ht="21" customHeight="1">
      <c r="A112" s="302"/>
      <c r="C112" s="300" t="s">
        <v>1012</v>
      </c>
      <c r="D112" s="329"/>
      <c r="E112" s="329"/>
      <c r="F112" s="329"/>
      <c r="G112" s="329"/>
      <c r="H112" s="329"/>
      <c r="I112" s="329"/>
      <c r="J112" s="329"/>
      <c r="K112" s="329"/>
      <c r="L112" s="325">
        <v>750</v>
      </c>
      <c r="M112" s="324" t="s">
        <v>17</v>
      </c>
      <c r="N112" s="325"/>
      <c r="O112" s="323">
        <v>1200</v>
      </c>
      <c r="P112" s="326">
        <f t="shared" si="11"/>
        <v>900000</v>
      </c>
      <c r="Q112" s="328"/>
      <c r="R112" s="328"/>
      <c r="S112" s="305"/>
      <c r="U112" s="1173"/>
    </row>
    <row r="113" spans="1:21" s="303" customFormat="1" ht="21" customHeight="1">
      <c r="A113" s="302"/>
      <c r="C113" s="345" t="s">
        <v>1013</v>
      </c>
      <c r="D113" s="363"/>
      <c r="E113" s="318"/>
      <c r="F113" s="318"/>
      <c r="G113" s="318"/>
      <c r="H113" s="318"/>
      <c r="I113" s="318"/>
      <c r="J113" s="318"/>
      <c r="K113" s="318"/>
      <c r="L113" s="323">
        <v>150</v>
      </c>
      <c r="M113" s="324" t="s">
        <v>385</v>
      </c>
      <c r="N113" s="325"/>
      <c r="O113" s="323">
        <v>2500</v>
      </c>
      <c r="P113" s="326">
        <f t="shared" si="11"/>
        <v>375000</v>
      </c>
      <c r="Q113" s="327"/>
      <c r="R113" s="327"/>
      <c r="S113" s="305"/>
      <c r="U113" s="1173"/>
    </row>
    <row r="114" spans="1:21" s="303" customFormat="1" ht="21" customHeight="1">
      <c r="A114" s="302"/>
      <c r="C114" s="370" t="s">
        <v>1014</v>
      </c>
      <c r="D114" s="371"/>
      <c r="E114" s="317"/>
      <c r="F114" s="317"/>
      <c r="G114" s="317"/>
      <c r="H114" s="317"/>
      <c r="I114" s="317"/>
      <c r="J114" s="317"/>
      <c r="K114" s="317"/>
      <c r="L114" s="323"/>
      <c r="M114" s="324"/>
      <c r="N114" s="325"/>
      <c r="O114" s="323"/>
      <c r="P114" s="337">
        <f>SUM(P115:P118)</f>
        <v>1477200</v>
      </c>
      <c r="Q114" s="336"/>
      <c r="R114" s="336"/>
      <c r="S114" s="305"/>
      <c r="U114" s="1173"/>
    </row>
    <row r="115" spans="1:21" s="303" customFormat="1" ht="21" customHeight="1">
      <c r="A115" s="302"/>
      <c r="C115" s="362" t="s">
        <v>1015</v>
      </c>
      <c r="D115" s="363"/>
      <c r="E115" s="318"/>
      <c r="F115" s="318"/>
      <c r="G115" s="318"/>
      <c r="H115" s="318"/>
      <c r="I115" s="318"/>
      <c r="J115" s="318"/>
      <c r="K115" s="318"/>
      <c r="L115" s="323">
        <v>480</v>
      </c>
      <c r="M115" s="324" t="s">
        <v>1000</v>
      </c>
      <c r="N115" s="325"/>
      <c r="O115" s="323">
        <v>70</v>
      </c>
      <c r="P115" s="326">
        <f>O115*L115</f>
        <v>33600</v>
      </c>
      <c r="Q115" s="327"/>
      <c r="R115" s="327"/>
      <c r="S115" s="305"/>
      <c r="U115" s="1173"/>
    </row>
    <row r="116" spans="1:21" s="303" customFormat="1" ht="21" customHeight="1">
      <c r="A116" s="302"/>
      <c r="C116" s="367" t="s">
        <v>1016</v>
      </c>
      <c r="D116" s="363"/>
      <c r="E116" s="318"/>
      <c r="F116" s="318"/>
      <c r="G116" s="318"/>
      <c r="H116" s="318"/>
      <c r="I116" s="318"/>
      <c r="J116" s="318"/>
      <c r="K116" s="318"/>
      <c r="L116" s="323">
        <v>540</v>
      </c>
      <c r="M116" s="324" t="s">
        <v>17</v>
      </c>
      <c r="N116" s="325"/>
      <c r="O116" s="323">
        <v>240</v>
      </c>
      <c r="P116" s="326">
        <f t="shared" ref="P116:P118" si="12">O116*L116</f>
        <v>129600</v>
      </c>
      <c r="Q116" s="328"/>
      <c r="R116" s="328"/>
      <c r="S116" s="305"/>
      <c r="U116" s="1173"/>
    </row>
    <row r="117" spans="1:21" s="303" customFormat="1" ht="21" customHeight="1">
      <c r="A117" s="302"/>
      <c r="C117" s="300" t="s">
        <v>1017</v>
      </c>
      <c r="D117" s="329"/>
      <c r="E117" s="329"/>
      <c r="F117" s="329"/>
      <c r="G117" s="329"/>
      <c r="H117" s="329"/>
      <c r="I117" s="329"/>
      <c r="J117" s="329"/>
      <c r="K117" s="329"/>
      <c r="L117" s="325">
        <v>720</v>
      </c>
      <c r="M117" s="324" t="s">
        <v>17</v>
      </c>
      <c r="N117" s="325"/>
      <c r="O117" s="323">
        <v>1200</v>
      </c>
      <c r="P117" s="326">
        <f t="shared" si="12"/>
        <v>864000</v>
      </c>
      <c r="Q117" s="328"/>
      <c r="R117" s="328"/>
      <c r="S117" s="305"/>
      <c r="U117" s="1173"/>
    </row>
    <row r="118" spans="1:21" s="303" customFormat="1" ht="21" customHeight="1">
      <c r="A118" s="302"/>
      <c r="C118" s="345" t="s">
        <v>1018</v>
      </c>
      <c r="D118" s="363"/>
      <c r="E118" s="318"/>
      <c r="F118" s="318"/>
      <c r="G118" s="318"/>
      <c r="H118" s="318"/>
      <c r="I118" s="318"/>
      <c r="J118" s="318"/>
      <c r="K118" s="318"/>
      <c r="L118" s="323">
        <v>180</v>
      </c>
      <c r="M118" s="324" t="s">
        <v>385</v>
      </c>
      <c r="N118" s="325"/>
      <c r="O118" s="323">
        <v>2500</v>
      </c>
      <c r="P118" s="326">
        <f t="shared" si="12"/>
        <v>450000</v>
      </c>
      <c r="Q118" s="327"/>
      <c r="R118" s="327"/>
      <c r="S118" s="305"/>
      <c r="U118" s="1173"/>
    </row>
    <row r="119" spans="1:21" s="303" customFormat="1" ht="21" customHeight="1">
      <c r="A119" s="302"/>
      <c r="C119" s="368" t="s">
        <v>1019</v>
      </c>
      <c r="D119" s="371"/>
      <c r="E119" s="317"/>
      <c r="F119" s="317"/>
      <c r="G119" s="317"/>
      <c r="H119" s="318"/>
      <c r="I119" s="318"/>
      <c r="J119" s="318"/>
      <c r="K119" s="318"/>
      <c r="L119" s="323"/>
      <c r="M119" s="324"/>
      <c r="N119" s="325"/>
      <c r="O119" s="323"/>
      <c r="P119" s="337">
        <f>SUM(P120:P121)</f>
        <v>310000</v>
      </c>
      <c r="Q119" s="336"/>
      <c r="R119" s="336"/>
      <c r="S119" s="305"/>
      <c r="U119" s="1173"/>
    </row>
    <row r="120" spans="1:21" s="303" customFormat="1" ht="21" customHeight="1">
      <c r="A120" s="302"/>
      <c r="C120" s="367" t="s">
        <v>1020</v>
      </c>
      <c r="D120" s="363"/>
      <c r="E120" s="318"/>
      <c r="F120" s="318"/>
      <c r="G120" s="318"/>
      <c r="H120" s="318"/>
      <c r="I120" s="318"/>
      <c r="J120" s="318"/>
      <c r="K120" s="318"/>
      <c r="L120" s="323">
        <v>500</v>
      </c>
      <c r="M120" s="324" t="s">
        <v>46</v>
      </c>
      <c r="N120" s="325"/>
      <c r="O120" s="323">
        <v>500</v>
      </c>
      <c r="P120" s="326">
        <f>O120*L120</f>
        <v>250000</v>
      </c>
      <c r="Q120" s="328"/>
      <c r="R120" s="328"/>
      <c r="S120" s="305"/>
      <c r="U120" s="1173"/>
    </row>
    <row r="121" spans="1:21" s="303" customFormat="1" ht="21" customHeight="1">
      <c r="A121" s="302"/>
      <c r="C121" s="367" t="s">
        <v>1021</v>
      </c>
      <c r="D121" s="363"/>
      <c r="E121" s="318"/>
      <c r="F121" s="318"/>
      <c r="G121" s="318"/>
      <c r="H121" s="318"/>
      <c r="I121" s="318"/>
      <c r="J121" s="318"/>
      <c r="K121" s="318"/>
      <c r="L121" s="323">
        <v>30</v>
      </c>
      <c r="M121" s="324" t="s">
        <v>19</v>
      </c>
      <c r="N121" s="325"/>
      <c r="O121" s="323">
        <v>2000</v>
      </c>
      <c r="P121" s="326">
        <f>O121*L121</f>
        <v>60000</v>
      </c>
      <c r="Q121" s="328"/>
      <c r="R121" s="328"/>
      <c r="S121" s="305"/>
      <c r="U121" s="1173"/>
    </row>
    <row r="122" spans="1:21" s="303" customFormat="1" ht="21" customHeight="1">
      <c r="A122" s="302"/>
      <c r="C122" s="370" t="s">
        <v>1022</v>
      </c>
      <c r="D122" s="371"/>
      <c r="E122" s="317"/>
      <c r="F122" s="317"/>
      <c r="G122" s="318"/>
      <c r="H122" s="318"/>
      <c r="I122" s="318"/>
      <c r="J122" s="318"/>
      <c r="K122" s="318"/>
      <c r="L122" s="323"/>
      <c r="M122" s="324"/>
      <c r="N122" s="325"/>
      <c r="O122" s="323"/>
      <c r="P122" s="337">
        <f>SUM(P123:P128)</f>
        <v>84860</v>
      </c>
      <c r="Q122" s="338"/>
      <c r="R122" s="338"/>
      <c r="S122" s="305"/>
      <c r="U122" s="1173"/>
    </row>
    <row r="123" spans="1:21" s="303" customFormat="1" ht="21" customHeight="1">
      <c r="A123" s="302"/>
      <c r="C123" s="362" t="s">
        <v>1023</v>
      </c>
      <c r="D123" s="363"/>
      <c r="E123" s="318"/>
      <c r="F123" s="318"/>
      <c r="G123" s="318"/>
      <c r="H123" s="318"/>
      <c r="I123" s="318"/>
      <c r="J123" s="318"/>
      <c r="K123" s="318"/>
      <c r="L123" s="323">
        <v>100</v>
      </c>
      <c r="M123" s="324" t="s">
        <v>19</v>
      </c>
      <c r="N123" s="325"/>
      <c r="O123" s="323">
        <v>70</v>
      </c>
      <c r="P123" s="326">
        <f>O123*L123</f>
        <v>7000</v>
      </c>
      <c r="Q123" s="327"/>
      <c r="R123" s="327"/>
      <c r="S123" s="305"/>
      <c r="U123" s="1173"/>
    </row>
    <row r="124" spans="1:21" s="303" customFormat="1" ht="21" customHeight="1">
      <c r="A124" s="302"/>
      <c r="C124" s="372" t="s">
        <v>995</v>
      </c>
      <c r="D124" s="373"/>
      <c r="E124" s="318"/>
      <c r="F124" s="318"/>
      <c r="G124" s="318"/>
      <c r="H124" s="318"/>
      <c r="I124" s="318"/>
      <c r="J124" s="318"/>
      <c r="K124" s="318"/>
      <c r="L124" s="323">
        <v>100</v>
      </c>
      <c r="M124" s="324" t="s">
        <v>361</v>
      </c>
      <c r="N124" s="325"/>
      <c r="O124" s="323">
        <v>600</v>
      </c>
      <c r="P124" s="326">
        <f t="shared" ref="P124:P127" si="13">O124*L124</f>
        <v>60000</v>
      </c>
      <c r="Q124" s="328"/>
      <c r="R124" s="328"/>
      <c r="S124" s="305"/>
      <c r="U124" s="1173"/>
    </row>
    <row r="125" spans="1:21" s="303" customFormat="1" ht="21" customHeight="1">
      <c r="A125" s="302"/>
      <c r="C125" s="364" t="s">
        <v>996</v>
      </c>
      <c r="D125" s="318"/>
      <c r="E125" s="318"/>
      <c r="F125" s="318"/>
      <c r="G125" s="318"/>
      <c r="H125" s="318"/>
      <c r="I125" s="318"/>
      <c r="J125" s="318"/>
      <c r="K125" s="318"/>
      <c r="L125" s="323">
        <v>7</v>
      </c>
      <c r="M125" s="324" t="s">
        <v>367</v>
      </c>
      <c r="N125" s="325"/>
      <c r="O125" s="323">
        <v>1200</v>
      </c>
      <c r="P125" s="326">
        <f t="shared" si="13"/>
        <v>8400</v>
      </c>
      <c r="Q125" s="328"/>
      <c r="R125" s="328"/>
      <c r="S125" s="305"/>
      <c r="U125" s="1173"/>
    </row>
    <row r="126" spans="1:21" s="303" customFormat="1" ht="21" customHeight="1">
      <c r="A126" s="302"/>
      <c r="C126" s="367" t="s">
        <v>997</v>
      </c>
      <c r="D126" s="363"/>
      <c r="E126" s="318"/>
      <c r="F126" s="318"/>
      <c r="G126" s="318"/>
      <c r="H126" s="318"/>
      <c r="I126" s="318"/>
      <c r="J126" s="318"/>
      <c r="K126" s="318"/>
      <c r="L126" s="323">
        <v>4</v>
      </c>
      <c r="M126" s="324" t="s">
        <v>17</v>
      </c>
      <c r="N126" s="325"/>
      <c r="O126" s="323">
        <v>240</v>
      </c>
      <c r="P126" s="326">
        <f t="shared" si="13"/>
        <v>960</v>
      </c>
      <c r="Q126" s="339"/>
      <c r="R126" s="339"/>
      <c r="S126" s="305"/>
      <c r="U126" s="1173"/>
    </row>
    <row r="127" spans="1:21" s="303" customFormat="1" ht="21" customHeight="1">
      <c r="A127" s="302"/>
      <c r="C127" s="300" t="s">
        <v>974</v>
      </c>
      <c r="D127" s="329"/>
      <c r="E127" s="329"/>
      <c r="F127" s="329"/>
      <c r="G127" s="329"/>
      <c r="H127" s="329"/>
      <c r="I127" s="329"/>
      <c r="J127" s="329"/>
      <c r="K127" s="329"/>
      <c r="L127" s="325">
        <v>5</v>
      </c>
      <c r="M127" s="324" t="s">
        <v>17</v>
      </c>
      <c r="N127" s="325"/>
      <c r="O127" s="323">
        <v>1200</v>
      </c>
      <c r="P127" s="326">
        <f t="shared" si="13"/>
        <v>6000</v>
      </c>
      <c r="Q127" s="328"/>
      <c r="R127" s="328"/>
      <c r="S127" s="305"/>
      <c r="U127" s="1173"/>
    </row>
    <row r="128" spans="1:21" s="303" customFormat="1" ht="21" customHeight="1">
      <c r="A128" s="302"/>
      <c r="C128" s="345" t="s">
        <v>975</v>
      </c>
      <c r="D128" s="363"/>
      <c r="E128" s="318"/>
      <c r="F128" s="318"/>
      <c r="G128" s="318"/>
      <c r="H128" s="318"/>
      <c r="I128" s="318"/>
      <c r="J128" s="318"/>
      <c r="K128" s="318"/>
      <c r="L128" s="323">
        <v>1</v>
      </c>
      <c r="M128" s="324" t="s">
        <v>385</v>
      </c>
      <c r="N128" s="325"/>
      <c r="O128" s="323">
        <v>2500</v>
      </c>
      <c r="P128" s="326">
        <f>O128*L128</f>
        <v>2500</v>
      </c>
      <c r="Q128" s="327"/>
      <c r="R128" s="327"/>
      <c r="S128" s="305"/>
      <c r="U128" s="1173"/>
    </row>
    <row r="129" spans="1:21" s="303" customFormat="1" ht="21" customHeight="1">
      <c r="A129" s="302"/>
      <c r="C129" s="370" t="s">
        <v>1024</v>
      </c>
      <c r="D129" s="363"/>
      <c r="E129" s="318"/>
      <c r="F129" s="318"/>
      <c r="G129" s="318"/>
      <c r="H129" s="318"/>
      <c r="I129" s="318"/>
      <c r="J129" s="318"/>
      <c r="K129" s="318"/>
      <c r="L129" s="323"/>
      <c r="M129" s="324"/>
      <c r="N129" s="325"/>
      <c r="O129" s="323"/>
      <c r="P129" s="337">
        <f>SUM(P130:P133)</f>
        <v>84000</v>
      </c>
      <c r="Q129" s="336"/>
      <c r="R129" s="336"/>
      <c r="S129" s="305"/>
      <c r="U129" s="1173"/>
    </row>
    <row r="130" spans="1:21" s="303" customFormat="1" ht="19.5" customHeight="1">
      <c r="A130" s="302"/>
      <c r="C130" s="372" t="s">
        <v>1025</v>
      </c>
      <c r="D130" s="329"/>
      <c r="E130" s="329"/>
      <c r="F130" s="329"/>
      <c r="G130" s="329"/>
      <c r="H130" s="329"/>
      <c r="I130" s="329"/>
      <c r="J130" s="329"/>
      <c r="K130" s="329"/>
      <c r="L130" s="325">
        <v>100</v>
      </c>
      <c r="M130" s="324" t="s">
        <v>427</v>
      </c>
      <c r="N130" s="325"/>
      <c r="O130" s="323">
        <v>200</v>
      </c>
      <c r="P130" s="183">
        <f>O130*L130</f>
        <v>20000</v>
      </c>
      <c r="Q130" s="986"/>
      <c r="R130" s="986"/>
      <c r="S130" s="305"/>
      <c r="U130" s="1173"/>
    </row>
    <row r="131" spans="1:21" s="303" customFormat="1" ht="21" customHeight="1">
      <c r="A131" s="302"/>
      <c r="C131" s="367" t="s">
        <v>1026</v>
      </c>
      <c r="D131" s="329"/>
      <c r="E131" s="329"/>
      <c r="F131" s="329"/>
      <c r="G131" s="329"/>
      <c r="H131" s="329"/>
      <c r="I131" s="329"/>
      <c r="J131" s="329"/>
      <c r="K131" s="329"/>
      <c r="L131" s="325">
        <v>20</v>
      </c>
      <c r="M131" s="324" t="s">
        <v>457</v>
      </c>
      <c r="N131" s="325"/>
      <c r="O131" s="323">
        <v>500</v>
      </c>
      <c r="P131" s="183">
        <f t="shared" ref="P131:P133" si="14">O131*L131</f>
        <v>10000</v>
      </c>
      <c r="Q131" s="986"/>
      <c r="R131" s="986"/>
      <c r="S131" s="305"/>
      <c r="U131" s="1173"/>
    </row>
    <row r="132" spans="1:21" s="303" customFormat="1" ht="21" customHeight="1">
      <c r="A132" s="302"/>
      <c r="C132" s="367" t="s">
        <v>1027</v>
      </c>
      <c r="D132" s="329"/>
      <c r="E132" s="329"/>
      <c r="F132" s="329"/>
      <c r="G132" s="329"/>
      <c r="H132" s="329"/>
      <c r="I132" s="329"/>
      <c r="J132" s="329"/>
      <c r="K132" s="329"/>
      <c r="L132" s="325">
        <v>40</v>
      </c>
      <c r="M132" s="324" t="s">
        <v>457</v>
      </c>
      <c r="N132" s="325"/>
      <c r="O132" s="323">
        <v>600</v>
      </c>
      <c r="P132" s="183">
        <f t="shared" si="14"/>
        <v>24000</v>
      </c>
      <c r="Q132" s="986"/>
      <c r="R132" s="986"/>
      <c r="S132" s="305"/>
      <c r="U132" s="1173"/>
    </row>
    <row r="133" spans="1:21" s="303" customFormat="1" ht="21" customHeight="1">
      <c r="A133" s="302"/>
      <c r="C133" s="367" t="s">
        <v>1028</v>
      </c>
      <c r="D133" s="329"/>
      <c r="E133" s="329"/>
      <c r="F133" s="329"/>
      <c r="G133" s="329"/>
      <c r="H133" s="329"/>
      <c r="I133" s="329"/>
      <c r="J133" s="329"/>
      <c r="K133" s="329"/>
      <c r="L133" s="325">
        <v>20</v>
      </c>
      <c r="M133" s="324" t="s">
        <v>457</v>
      </c>
      <c r="N133" s="325"/>
      <c r="O133" s="323">
        <v>1500</v>
      </c>
      <c r="P133" s="183">
        <f t="shared" si="14"/>
        <v>30000</v>
      </c>
      <c r="Q133" s="986"/>
      <c r="R133" s="986"/>
      <c r="S133" s="305"/>
      <c r="U133" s="1173"/>
    </row>
    <row r="134" spans="1:21" s="303" customFormat="1" ht="21" customHeight="1">
      <c r="A134" s="1096"/>
      <c r="B134" s="1097"/>
      <c r="C134" s="993" t="s">
        <v>1029</v>
      </c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985"/>
      <c r="P134" s="175">
        <f>SUM(P135:P137)</f>
        <v>288190</v>
      </c>
      <c r="Q134" s="996"/>
      <c r="R134" s="996"/>
      <c r="S134" s="305"/>
      <c r="U134" s="1173"/>
    </row>
    <row r="135" spans="1:21" s="303" customFormat="1" ht="21" customHeight="1">
      <c r="A135" s="302"/>
      <c r="C135" s="267" t="s">
        <v>1030</v>
      </c>
      <c r="D135" s="329"/>
      <c r="E135" s="329"/>
      <c r="F135" s="329"/>
      <c r="G135" s="329"/>
      <c r="H135" s="329"/>
      <c r="I135" s="329"/>
      <c r="J135" s="329"/>
      <c r="K135" s="329"/>
      <c r="L135" s="325" t="s">
        <v>432</v>
      </c>
      <c r="M135" s="325"/>
      <c r="N135" s="325"/>
      <c r="O135" s="323">
        <v>120000</v>
      </c>
      <c r="P135" s="335">
        <f>O135</f>
        <v>120000</v>
      </c>
      <c r="Q135" s="331"/>
      <c r="R135" s="331"/>
      <c r="S135" s="305"/>
      <c r="U135" s="1173"/>
    </row>
    <row r="136" spans="1:21" s="303" customFormat="1" ht="21" customHeight="1">
      <c r="A136" s="302"/>
      <c r="C136" s="267" t="s">
        <v>1031</v>
      </c>
      <c r="D136" s="329"/>
      <c r="E136" s="329"/>
      <c r="F136" s="329"/>
      <c r="G136" s="329"/>
      <c r="H136" s="329"/>
      <c r="I136" s="329"/>
      <c r="J136" s="329"/>
      <c r="K136" s="329"/>
      <c r="L136" s="325" t="s">
        <v>432</v>
      </c>
      <c r="M136" s="325"/>
      <c r="N136" s="325"/>
      <c r="O136" s="323">
        <v>100000</v>
      </c>
      <c r="P136" s="335">
        <f t="shared" ref="P136:P137" si="15">O136</f>
        <v>100000</v>
      </c>
      <c r="Q136" s="331"/>
      <c r="R136" s="331"/>
      <c r="S136" s="305"/>
      <c r="U136" s="1173"/>
    </row>
    <row r="137" spans="1:21" s="303" customFormat="1" ht="21" customHeight="1">
      <c r="A137" s="302"/>
      <c r="C137" s="267" t="s">
        <v>1032</v>
      </c>
      <c r="D137" s="329"/>
      <c r="E137" s="329"/>
      <c r="F137" s="329"/>
      <c r="G137" s="329"/>
      <c r="H137" s="329"/>
      <c r="I137" s="329"/>
      <c r="J137" s="329"/>
      <c r="K137" s="329"/>
      <c r="L137" s="325" t="s">
        <v>432</v>
      </c>
      <c r="M137" s="325"/>
      <c r="N137" s="325"/>
      <c r="O137" s="323">
        <v>68190</v>
      </c>
      <c r="P137" s="335">
        <f t="shared" si="15"/>
        <v>68190</v>
      </c>
      <c r="Q137" s="331"/>
      <c r="R137" s="331"/>
      <c r="S137" s="305"/>
      <c r="U137" s="1173"/>
    </row>
    <row r="138" spans="1:21" s="303" customFormat="1" ht="21" customHeight="1">
      <c r="A138" s="302"/>
      <c r="C138" s="375" t="s">
        <v>1033</v>
      </c>
      <c r="D138" s="317"/>
      <c r="E138" s="317"/>
      <c r="F138" s="317"/>
      <c r="G138" s="317"/>
      <c r="H138" s="317"/>
      <c r="I138" s="318"/>
      <c r="J138" s="318"/>
      <c r="K138" s="318"/>
      <c r="L138" s="319"/>
      <c r="M138" s="319"/>
      <c r="N138" s="319"/>
      <c r="O138" s="318"/>
      <c r="P138" s="1528">
        <f>P139+P144+P149+P153+P156+P159+P164+P169</f>
        <v>2464290</v>
      </c>
      <c r="Q138" s="332"/>
      <c r="R138" s="332"/>
      <c r="S138" s="305"/>
      <c r="U138" s="1173"/>
    </row>
    <row r="139" spans="1:21" s="303" customFormat="1" ht="21" customHeight="1">
      <c r="A139" s="302"/>
      <c r="C139" s="994" t="s">
        <v>1034</v>
      </c>
      <c r="D139" s="325"/>
      <c r="E139" s="325"/>
      <c r="F139" s="325"/>
      <c r="G139" s="325"/>
      <c r="H139" s="329"/>
      <c r="I139" s="329"/>
      <c r="J139" s="329"/>
      <c r="K139" s="329"/>
      <c r="L139" s="305"/>
      <c r="M139" s="333"/>
      <c r="N139" s="305"/>
      <c r="O139" s="330"/>
      <c r="P139" s="320">
        <f>SUM(P140:P143)</f>
        <v>77900</v>
      </c>
      <c r="Q139" s="995"/>
      <c r="R139" s="995"/>
      <c r="S139" s="305"/>
      <c r="U139" s="1173"/>
    </row>
    <row r="140" spans="1:21" s="303" customFormat="1" ht="21" customHeight="1">
      <c r="A140" s="302"/>
      <c r="C140" s="362" t="s">
        <v>994</v>
      </c>
      <c r="D140" s="363"/>
      <c r="E140" s="318"/>
      <c r="F140" s="318"/>
      <c r="G140" s="318"/>
      <c r="H140" s="318"/>
      <c r="I140" s="318"/>
      <c r="J140" s="318"/>
      <c r="K140" s="318"/>
      <c r="L140" s="323">
        <v>100</v>
      </c>
      <c r="M140" s="324" t="s">
        <v>19</v>
      </c>
      <c r="N140" s="325"/>
      <c r="O140" s="323">
        <v>70</v>
      </c>
      <c r="P140" s="326">
        <f>O140*L140</f>
        <v>7000</v>
      </c>
      <c r="Q140" s="343"/>
      <c r="R140" s="327"/>
      <c r="S140" s="305"/>
      <c r="U140" s="1173"/>
    </row>
    <row r="141" spans="1:21" s="303" customFormat="1" ht="21" customHeight="1">
      <c r="A141" s="302"/>
      <c r="C141" s="372" t="s">
        <v>995</v>
      </c>
      <c r="D141" s="373"/>
      <c r="E141" s="318"/>
      <c r="F141" s="318"/>
      <c r="G141" s="318"/>
      <c r="H141" s="318"/>
      <c r="I141" s="318"/>
      <c r="J141" s="318"/>
      <c r="K141" s="318"/>
      <c r="L141" s="323">
        <v>100</v>
      </c>
      <c r="M141" s="324" t="s">
        <v>361</v>
      </c>
      <c r="N141" s="325"/>
      <c r="O141" s="323">
        <v>600</v>
      </c>
      <c r="P141" s="326">
        <f t="shared" ref="P141:P143" si="16">O141*L141</f>
        <v>60000</v>
      </c>
      <c r="Q141" s="328"/>
      <c r="R141" s="328"/>
      <c r="S141" s="305"/>
      <c r="U141" s="1173"/>
    </row>
    <row r="142" spans="1:21" s="303" customFormat="1" ht="21" customHeight="1">
      <c r="A142" s="302"/>
      <c r="C142" s="364" t="s">
        <v>996</v>
      </c>
      <c r="D142" s="318"/>
      <c r="E142" s="318"/>
      <c r="F142" s="318"/>
      <c r="G142" s="318"/>
      <c r="H142" s="318"/>
      <c r="I142" s="318"/>
      <c r="J142" s="318"/>
      <c r="K142" s="318"/>
      <c r="L142" s="323">
        <v>7</v>
      </c>
      <c r="M142" s="324" t="s">
        <v>367</v>
      </c>
      <c r="N142" s="325"/>
      <c r="O142" s="323">
        <v>1200</v>
      </c>
      <c r="P142" s="326">
        <f t="shared" si="16"/>
        <v>8400</v>
      </c>
      <c r="Q142" s="328"/>
      <c r="R142" s="328"/>
      <c r="S142" s="305"/>
      <c r="U142" s="1173"/>
    </row>
    <row r="143" spans="1:21" s="303" customFormat="1" ht="21" customHeight="1">
      <c r="A143" s="302"/>
      <c r="C143" s="345" t="s">
        <v>1035</v>
      </c>
      <c r="D143" s="363"/>
      <c r="E143" s="318"/>
      <c r="F143" s="318"/>
      <c r="G143" s="318"/>
      <c r="H143" s="318"/>
      <c r="I143" s="318"/>
      <c r="J143" s="318"/>
      <c r="K143" s="318"/>
      <c r="L143" s="323">
        <v>1</v>
      </c>
      <c r="M143" s="324" t="s">
        <v>385</v>
      </c>
      <c r="N143" s="325"/>
      <c r="O143" s="323">
        <v>2500</v>
      </c>
      <c r="P143" s="326">
        <f t="shared" si="16"/>
        <v>2500</v>
      </c>
      <c r="Q143" s="327"/>
      <c r="R143" s="327"/>
      <c r="S143" s="305"/>
      <c r="U143" s="1173"/>
    </row>
    <row r="144" spans="1:21" ht="21" customHeight="1">
      <c r="A144" s="299"/>
      <c r="C144" s="370" t="s">
        <v>1036</v>
      </c>
      <c r="D144" s="371"/>
      <c r="E144" s="317"/>
      <c r="F144" s="317"/>
      <c r="G144" s="317"/>
      <c r="H144" s="317"/>
      <c r="I144" s="318"/>
      <c r="J144" s="318"/>
      <c r="K144" s="318"/>
      <c r="L144" s="323"/>
      <c r="M144" s="324"/>
      <c r="N144" s="325"/>
      <c r="O144" s="323"/>
      <c r="P144" s="337">
        <f>SUM(P145:P148)</f>
        <v>153300</v>
      </c>
      <c r="Q144" s="338"/>
      <c r="R144" s="338"/>
      <c r="S144" s="305"/>
      <c r="U144" s="1173"/>
    </row>
    <row r="145" spans="1:21" s="303" customFormat="1" ht="21" customHeight="1">
      <c r="A145" s="302"/>
      <c r="C145" s="362" t="s">
        <v>999</v>
      </c>
      <c r="D145" s="363"/>
      <c r="E145" s="318"/>
      <c r="F145" s="318"/>
      <c r="G145" s="318"/>
      <c r="H145" s="318"/>
      <c r="I145" s="318"/>
      <c r="J145" s="318"/>
      <c r="K145" s="318"/>
      <c r="L145" s="323">
        <v>180</v>
      </c>
      <c r="M145" s="324" t="s">
        <v>1000</v>
      </c>
      <c r="N145" s="325"/>
      <c r="O145" s="323">
        <v>70</v>
      </c>
      <c r="P145" s="326">
        <f>O145*L145</f>
        <v>12600</v>
      </c>
      <c r="Q145" s="327"/>
      <c r="R145" s="327"/>
      <c r="S145" s="305"/>
      <c r="U145" s="1173"/>
    </row>
    <row r="146" spans="1:21" s="303" customFormat="1" ht="21" customHeight="1">
      <c r="A146" s="302"/>
      <c r="C146" s="372" t="s">
        <v>1001</v>
      </c>
      <c r="D146" s="373"/>
      <c r="E146" s="318"/>
      <c r="F146" s="318"/>
      <c r="G146" s="318"/>
      <c r="H146" s="318"/>
      <c r="I146" s="318"/>
      <c r="J146" s="318"/>
      <c r="K146" s="318"/>
      <c r="L146" s="323">
        <v>180</v>
      </c>
      <c r="M146" s="324" t="s">
        <v>1002</v>
      </c>
      <c r="N146" s="325"/>
      <c r="O146" s="323">
        <v>600</v>
      </c>
      <c r="P146" s="326">
        <f t="shared" ref="P146:P148" si="17">O146*L146</f>
        <v>108000</v>
      </c>
      <c r="Q146" s="328"/>
      <c r="R146" s="328"/>
      <c r="S146" s="305"/>
      <c r="U146" s="1173"/>
    </row>
    <row r="147" spans="1:21" s="303" customFormat="1" ht="21" customHeight="1">
      <c r="A147" s="302"/>
      <c r="C147" s="364" t="s">
        <v>1003</v>
      </c>
      <c r="D147" s="318"/>
      <c r="E147" s="318"/>
      <c r="F147" s="318"/>
      <c r="G147" s="318"/>
      <c r="H147" s="318"/>
      <c r="I147" s="318"/>
      <c r="J147" s="318"/>
      <c r="K147" s="318"/>
      <c r="L147" s="323">
        <v>21</v>
      </c>
      <c r="M147" s="324" t="s">
        <v>367</v>
      </c>
      <c r="N147" s="325"/>
      <c r="O147" s="323">
        <v>1200</v>
      </c>
      <c r="P147" s="326">
        <f t="shared" si="17"/>
        <v>25200</v>
      </c>
      <c r="Q147" s="328"/>
      <c r="R147" s="328"/>
      <c r="S147" s="305"/>
      <c r="U147" s="1173"/>
    </row>
    <row r="148" spans="1:21" s="303" customFormat="1" ht="21" customHeight="1">
      <c r="A148" s="302"/>
      <c r="C148" s="345" t="s">
        <v>1037</v>
      </c>
      <c r="D148" s="363"/>
      <c r="E148" s="318"/>
      <c r="F148" s="318"/>
      <c r="G148" s="318"/>
      <c r="H148" s="318"/>
      <c r="I148" s="318"/>
      <c r="J148" s="318"/>
      <c r="K148" s="318"/>
      <c r="L148" s="323">
        <v>3</v>
      </c>
      <c r="M148" s="324" t="s">
        <v>385</v>
      </c>
      <c r="N148" s="325"/>
      <c r="O148" s="323">
        <v>2500</v>
      </c>
      <c r="P148" s="326">
        <f t="shared" si="17"/>
        <v>7500</v>
      </c>
      <c r="Q148" s="327"/>
      <c r="R148" s="327"/>
      <c r="S148" s="305"/>
      <c r="U148" s="1173"/>
    </row>
    <row r="149" spans="1:21" s="303" customFormat="1" ht="21" customHeight="1">
      <c r="A149" s="302"/>
      <c r="C149" s="368" t="s">
        <v>1038</v>
      </c>
      <c r="D149" s="371"/>
      <c r="E149" s="317"/>
      <c r="F149" s="317"/>
      <c r="G149" s="317"/>
      <c r="H149" s="317"/>
      <c r="I149" s="317"/>
      <c r="J149" s="317"/>
      <c r="K149" s="317"/>
      <c r="L149" s="323"/>
      <c r="M149" s="324"/>
      <c r="N149" s="325"/>
      <c r="O149" s="323"/>
      <c r="P149" s="337">
        <f>SUM(P150:P152)</f>
        <v>1216500</v>
      </c>
      <c r="Q149" s="336"/>
      <c r="R149" s="336"/>
      <c r="S149" s="305"/>
      <c r="U149" s="1173"/>
    </row>
    <row r="150" spans="1:21" s="303" customFormat="1" ht="21" customHeight="1">
      <c r="A150" s="302"/>
      <c r="C150" s="362" t="s">
        <v>1008</v>
      </c>
      <c r="D150" s="363"/>
      <c r="E150" s="318"/>
      <c r="F150" s="318"/>
      <c r="G150" s="318"/>
      <c r="H150" s="318"/>
      <c r="I150" s="318"/>
      <c r="J150" s="318"/>
      <c r="K150" s="318"/>
      <c r="L150" s="323">
        <v>450</v>
      </c>
      <c r="M150" s="324" t="s">
        <v>1000</v>
      </c>
      <c r="N150" s="325"/>
      <c r="O150" s="323">
        <v>70</v>
      </c>
      <c r="P150" s="326">
        <f>O150*L150</f>
        <v>31500</v>
      </c>
      <c r="Q150" s="327"/>
      <c r="R150" s="327"/>
      <c r="S150" s="305"/>
      <c r="U150" s="1173"/>
    </row>
    <row r="151" spans="1:21" s="303" customFormat="1" ht="21" customHeight="1">
      <c r="A151" s="302"/>
      <c r="C151" s="367" t="s">
        <v>1039</v>
      </c>
      <c r="D151" s="363"/>
      <c r="E151" s="318"/>
      <c r="F151" s="318"/>
      <c r="G151" s="318"/>
      <c r="H151" s="318"/>
      <c r="I151" s="318"/>
      <c r="J151" s="318"/>
      <c r="K151" s="318"/>
      <c r="L151" s="323">
        <v>480</v>
      </c>
      <c r="M151" s="324" t="s">
        <v>1010</v>
      </c>
      <c r="N151" s="325"/>
      <c r="O151" s="323">
        <v>2000</v>
      </c>
      <c r="P151" s="326">
        <f t="shared" ref="P151:P152" si="18">O151*L151</f>
        <v>960000</v>
      </c>
      <c r="Q151" s="328"/>
      <c r="R151" s="328"/>
      <c r="S151" s="305"/>
      <c r="U151" s="1173"/>
    </row>
    <row r="152" spans="1:21" s="303" customFormat="1" ht="21" customHeight="1">
      <c r="A152" s="302"/>
      <c r="C152" s="345" t="s">
        <v>1040</v>
      </c>
      <c r="D152" s="363"/>
      <c r="E152" s="318"/>
      <c r="F152" s="318"/>
      <c r="G152" s="318"/>
      <c r="H152" s="318"/>
      <c r="I152" s="318"/>
      <c r="J152" s="318"/>
      <c r="K152" s="318"/>
      <c r="L152" s="323">
        <v>90</v>
      </c>
      <c r="M152" s="324" t="s">
        <v>385</v>
      </c>
      <c r="N152" s="325"/>
      <c r="O152" s="323">
        <v>2500</v>
      </c>
      <c r="P152" s="326">
        <f t="shared" si="18"/>
        <v>225000</v>
      </c>
      <c r="Q152" s="327"/>
      <c r="R152" s="327"/>
      <c r="S152" s="305"/>
      <c r="U152" s="1173"/>
    </row>
    <row r="153" spans="1:21" s="303" customFormat="1" ht="21" customHeight="1">
      <c r="A153" s="302"/>
      <c r="C153" s="370" t="s">
        <v>1041</v>
      </c>
      <c r="D153" s="371"/>
      <c r="E153" s="317"/>
      <c r="F153" s="317"/>
      <c r="G153" s="317"/>
      <c r="H153" s="317"/>
      <c r="I153" s="317"/>
      <c r="J153" s="317"/>
      <c r="K153" s="317"/>
      <c r="L153" s="323"/>
      <c r="M153" s="324"/>
      <c r="N153" s="325"/>
      <c r="O153" s="323"/>
      <c r="P153" s="337">
        <f>SUM(P154:P155)</f>
        <v>256500</v>
      </c>
      <c r="Q153" s="336"/>
      <c r="R153" s="336"/>
      <c r="S153" s="305"/>
      <c r="U153" s="1173"/>
    </row>
    <row r="154" spans="1:21" s="303" customFormat="1" ht="21" customHeight="1">
      <c r="A154" s="302"/>
      <c r="C154" s="362" t="s">
        <v>1008</v>
      </c>
      <c r="D154" s="363"/>
      <c r="E154" s="318"/>
      <c r="F154" s="318"/>
      <c r="G154" s="318"/>
      <c r="H154" s="318"/>
      <c r="I154" s="318"/>
      <c r="J154" s="318"/>
      <c r="K154" s="318"/>
      <c r="L154" s="323">
        <v>450</v>
      </c>
      <c r="M154" s="324" t="s">
        <v>1000</v>
      </c>
      <c r="N154" s="325"/>
      <c r="O154" s="323">
        <v>70</v>
      </c>
      <c r="P154" s="326">
        <f>O154*L154</f>
        <v>31500</v>
      </c>
      <c r="Q154" s="327"/>
      <c r="R154" s="327"/>
      <c r="S154" s="305"/>
      <c r="U154" s="1173"/>
    </row>
    <row r="155" spans="1:21" s="303" customFormat="1" ht="21" customHeight="1">
      <c r="A155" s="302"/>
      <c r="C155" s="345" t="s">
        <v>1042</v>
      </c>
      <c r="D155" s="363"/>
      <c r="E155" s="318"/>
      <c r="F155" s="318"/>
      <c r="G155" s="318"/>
      <c r="H155" s="318"/>
      <c r="I155" s="318"/>
      <c r="J155" s="318"/>
      <c r="K155" s="318"/>
      <c r="L155" s="323">
        <v>90</v>
      </c>
      <c r="M155" s="324" t="s">
        <v>385</v>
      </c>
      <c r="N155" s="325"/>
      <c r="O155" s="323">
        <v>2500</v>
      </c>
      <c r="P155" s="326">
        <f>O155*L155</f>
        <v>225000</v>
      </c>
      <c r="Q155" s="327"/>
      <c r="R155" s="327"/>
      <c r="S155" s="305"/>
      <c r="U155" s="1173"/>
    </row>
    <row r="156" spans="1:21" s="303" customFormat="1" ht="21" customHeight="1">
      <c r="A156" s="302"/>
      <c r="C156" s="368" t="s">
        <v>1043</v>
      </c>
      <c r="D156" s="371"/>
      <c r="E156" s="317"/>
      <c r="F156" s="317"/>
      <c r="G156" s="317"/>
      <c r="H156" s="318"/>
      <c r="I156" s="318"/>
      <c r="J156" s="318"/>
      <c r="K156" s="318"/>
      <c r="L156" s="323"/>
      <c r="M156" s="324"/>
      <c r="N156" s="325"/>
      <c r="O156" s="323"/>
      <c r="P156" s="337">
        <f>SUM(P157:P158)</f>
        <v>310000</v>
      </c>
      <c r="Q156" s="336"/>
      <c r="R156" s="336"/>
      <c r="S156" s="305"/>
      <c r="U156" s="1173"/>
    </row>
    <row r="157" spans="1:21" s="303" customFormat="1" ht="21" customHeight="1">
      <c r="A157" s="302"/>
      <c r="C157" s="367" t="s">
        <v>1020</v>
      </c>
      <c r="D157" s="363"/>
      <c r="E157" s="318"/>
      <c r="F157" s="318"/>
      <c r="G157" s="318"/>
      <c r="H157" s="318"/>
      <c r="I157" s="318"/>
      <c r="J157" s="318"/>
      <c r="K157" s="318"/>
      <c r="L157" s="323">
        <v>500</v>
      </c>
      <c r="M157" s="324" t="s">
        <v>46</v>
      </c>
      <c r="N157" s="325"/>
      <c r="O157" s="323">
        <v>500</v>
      </c>
      <c r="P157" s="326">
        <f>O157*L157</f>
        <v>250000</v>
      </c>
      <c r="Q157" s="328"/>
      <c r="R157" s="328"/>
      <c r="S157" s="305"/>
      <c r="U157" s="1173"/>
    </row>
    <row r="158" spans="1:21" s="303" customFormat="1" ht="21" customHeight="1">
      <c r="A158" s="302"/>
      <c r="C158" s="367" t="s">
        <v>1021</v>
      </c>
      <c r="D158" s="363"/>
      <c r="E158" s="318"/>
      <c r="F158" s="318"/>
      <c r="G158" s="318"/>
      <c r="H158" s="318"/>
      <c r="I158" s="318"/>
      <c r="J158" s="318"/>
      <c r="K158" s="318"/>
      <c r="L158" s="323">
        <v>30</v>
      </c>
      <c r="M158" s="324" t="s">
        <v>19</v>
      </c>
      <c r="N158" s="325"/>
      <c r="O158" s="323">
        <v>2000</v>
      </c>
      <c r="P158" s="326">
        <f>O158*L158</f>
        <v>60000</v>
      </c>
      <c r="Q158" s="328"/>
      <c r="R158" s="328"/>
      <c r="S158" s="305"/>
      <c r="U158" s="1173"/>
    </row>
    <row r="159" spans="1:21" s="303" customFormat="1" ht="21" customHeight="1">
      <c r="A159" s="302"/>
      <c r="C159" s="370" t="s">
        <v>1044</v>
      </c>
      <c r="D159" s="371"/>
      <c r="E159" s="317"/>
      <c r="F159" s="317"/>
      <c r="G159" s="318"/>
      <c r="H159" s="318"/>
      <c r="I159" s="318"/>
      <c r="J159" s="318"/>
      <c r="K159" s="318"/>
      <c r="L159" s="323"/>
      <c r="M159" s="324"/>
      <c r="N159" s="325"/>
      <c r="O159" s="323"/>
      <c r="P159" s="337">
        <f>SUM(P160:P163)</f>
        <v>77900</v>
      </c>
      <c r="Q159" s="338"/>
      <c r="R159" s="338"/>
      <c r="S159" s="305"/>
      <c r="U159" s="1173"/>
    </row>
    <row r="160" spans="1:21" s="303" customFormat="1" ht="21" customHeight="1">
      <c r="A160" s="1096"/>
      <c r="B160" s="1097"/>
      <c r="C160" s="362" t="s">
        <v>1023</v>
      </c>
      <c r="D160" s="363"/>
      <c r="E160" s="318"/>
      <c r="F160" s="318"/>
      <c r="G160" s="318"/>
      <c r="H160" s="318"/>
      <c r="I160" s="318"/>
      <c r="J160" s="318"/>
      <c r="K160" s="318"/>
      <c r="L160" s="323">
        <v>100</v>
      </c>
      <c r="M160" s="324" t="s">
        <v>19</v>
      </c>
      <c r="N160" s="325"/>
      <c r="O160" s="323">
        <v>70</v>
      </c>
      <c r="P160" s="326">
        <f>O160*L160</f>
        <v>7000</v>
      </c>
      <c r="Q160" s="327"/>
      <c r="R160" s="327"/>
      <c r="S160" s="305"/>
      <c r="U160" s="1173"/>
    </row>
    <row r="161" spans="1:21" s="303" customFormat="1" ht="21" customHeight="1">
      <c r="A161" s="302"/>
      <c r="C161" s="372" t="s">
        <v>995</v>
      </c>
      <c r="D161" s="373"/>
      <c r="E161" s="318"/>
      <c r="F161" s="318"/>
      <c r="G161" s="318"/>
      <c r="H161" s="318"/>
      <c r="I161" s="318"/>
      <c r="J161" s="318"/>
      <c r="K161" s="318"/>
      <c r="L161" s="323">
        <v>100</v>
      </c>
      <c r="M161" s="324" t="s">
        <v>361</v>
      </c>
      <c r="N161" s="325"/>
      <c r="O161" s="323">
        <v>600</v>
      </c>
      <c r="P161" s="326">
        <f t="shared" ref="P161:P163" si="19">O161*L161</f>
        <v>60000</v>
      </c>
      <c r="Q161" s="328"/>
      <c r="R161" s="328"/>
      <c r="S161" s="305"/>
      <c r="U161" s="1173"/>
    </row>
    <row r="162" spans="1:21" s="303" customFormat="1" ht="21" customHeight="1">
      <c r="A162" s="302"/>
      <c r="C162" s="364" t="s">
        <v>996</v>
      </c>
      <c r="D162" s="318"/>
      <c r="E162" s="318"/>
      <c r="F162" s="318"/>
      <c r="G162" s="318"/>
      <c r="H162" s="318"/>
      <c r="I162" s="318"/>
      <c r="J162" s="318"/>
      <c r="K162" s="318"/>
      <c r="L162" s="323">
        <v>7</v>
      </c>
      <c r="M162" s="324" t="s">
        <v>367</v>
      </c>
      <c r="N162" s="325"/>
      <c r="O162" s="323">
        <v>1200</v>
      </c>
      <c r="P162" s="326">
        <f t="shared" si="19"/>
        <v>8400</v>
      </c>
      <c r="Q162" s="328"/>
      <c r="R162" s="328"/>
      <c r="S162" s="305"/>
      <c r="U162" s="1173"/>
    </row>
    <row r="163" spans="1:21" s="303" customFormat="1" ht="21" customHeight="1">
      <c r="A163" s="302"/>
      <c r="C163" s="345" t="s">
        <v>1035</v>
      </c>
      <c r="D163" s="363"/>
      <c r="E163" s="318"/>
      <c r="F163" s="318"/>
      <c r="G163" s="318"/>
      <c r="H163" s="318"/>
      <c r="I163" s="318"/>
      <c r="J163" s="318"/>
      <c r="K163" s="318"/>
      <c r="L163" s="323">
        <v>1</v>
      </c>
      <c r="M163" s="324" t="s">
        <v>385</v>
      </c>
      <c r="N163" s="325"/>
      <c r="O163" s="323">
        <v>2500</v>
      </c>
      <c r="P163" s="326">
        <f t="shared" si="19"/>
        <v>2500</v>
      </c>
      <c r="Q163" s="327"/>
      <c r="R163" s="327"/>
      <c r="S163" s="305"/>
      <c r="U163" s="1173"/>
    </row>
    <row r="164" spans="1:21" s="303" customFormat="1" ht="21" customHeight="1">
      <c r="A164" s="302"/>
      <c r="C164" s="370" t="s">
        <v>1045</v>
      </c>
      <c r="D164" s="363"/>
      <c r="E164" s="318"/>
      <c r="F164" s="318"/>
      <c r="G164" s="318"/>
      <c r="H164" s="318"/>
      <c r="I164" s="318"/>
      <c r="J164" s="318"/>
      <c r="K164" s="318"/>
      <c r="L164" s="323"/>
      <c r="M164" s="324"/>
      <c r="N164" s="325"/>
      <c r="O164" s="323"/>
      <c r="P164" s="337">
        <f>SUM(P165:P168)</f>
        <v>84000</v>
      </c>
      <c r="Q164" s="336"/>
      <c r="R164" s="336"/>
      <c r="S164" s="305"/>
      <c r="U164" s="1173"/>
    </row>
    <row r="165" spans="1:21" s="303" customFormat="1" ht="29.25" customHeight="1">
      <c r="A165" s="302"/>
      <c r="C165" s="372" t="s">
        <v>1025</v>
      </c>
      <c r="D165" s="329"/>
      <c r="E165" s="329"/>
      <c r="F165" s="329"/>
      <c r="G165" s="329"/>
      <c r="H165" s="329"/>
      <c r="I165" s="329"/>
      <c r="J165" s="329"/>
      <c r="K165" s="329"/>
      <c r="L165" s="325">
        <v>100</v>
      </c>
      <c r="M165" s="324" t="s">
        <v>427</v>
      </c>
      <c r="N165" s="325"/>
      <c r="O165" s="323">
        <v>200</v>
      </c>
      <c r="P165" s="183">
        <f>O165*L165</f>
        <v>20000</v>
      </c>
      <c r="Q165" s="986"/>
      <c r="R165" s="986"/>
      <c r="S165" s="305"/>
      <c r="U165" s="1173"/>
    </row>
    <row r="166" spans="1:21" s="303" customFormat="1" ht="21" customHeight="1">
      <c r="A166" s="302"/>
      <c r="C166" s="367" t="s">
        <v>1026</v>
      </c>
      <c r="D166" s="329"/>
      <c r="E166" s="329"/>
      <c r="F166" s="329"/>
      <c r="G166" s="329"/>
      <c r="H166" s="329"/>
      <c r="I166" s="329"/>
      <c r="J166" s="329"/>
      <c r="K166" s="329"/>
      <c r="L166" s="325">
        <v>20</v>
      </c>
      <c r="M166" s="324" t="s">
        <v>457</v>
      </c>
      <c r="N166" s="325"/>
      <c r="O166" s="323">
        <v>500</v>
      </c>
      <c r="P166" s="183">
        <f t="shared" ref="P166:P168" si="20">O166*L166</f>
        <v>10000</v>
      </c>
      <c r="Q166" s="986"/>
      <c r="R166" s="986"/>
      <c r="S166" s="305"/>
      <c r="U166" s="1173"/>
    </row>
    <row r="167" spans="1:21" s="303" customFormat="1" ht="21" customHeight="1">
      <c r="A167" s="302"/>
      <c r="C167" s="367" t="s">
        <v>1027</v>
      </c>
      <c r="D167" s="329"/>
      <c r="E167" s="329"/>
      <c r="F167" s="329"/>
      <c r="G167" s="329"/>
      <c r="H167" s="329"/>
      <c r="I167" s="329"/>
      <c r="J167" s="329"/>
      <c r="K167" s="329"/>
      <c r="L167" s="325">
        <v>40</v>
      </c>
      <c r="M167" s="324" t="s">
        <v>457</v>
      </c>
      <c r="N167" s="325"/>
      <c r="O167" s="323">
        <v>600</v>
      </c>
      <c r="P167" s="183">
        <f t="shared" si="20"/>
        <v>24000</v>
      </c>
      <c r="Q167" s="986"/>
      <c r="R167" s="986"/>
      <c r="S167" s="305"/>
      <c r="U167" s="1173"/>
    </row>
    <row r="168" spans="1:21" s="303" customFormat="1" ht="21" customHeight="1">
      <c r="A168" s="302"/>
      <c r="C168" s="367" t="s">
        <v>1028</v>
      </c>
      <c r="D168" s="329"/>
      <c r="E168" s="329"/>
      <c r="F168" s="329"/>
      <c r="G168" s="329"/>
      <c r="H168" s="329"/>
      <c r="I168" s="329"/>
      <c r="J168" s="329"/>
      <c r="K168" s="329"/>
      <c r="L168" s="325">
        <v>20</v>
      </c>
      <c r="M168" s="324" t="s">
        <v>457</v>
      </c>
      <c r="N168" s="325"/>
      <c r="O168" s="323">
        <v>1500</v>
      </c>
      <c r="P168" s="183">
        <f t="shared" si="20"/>
        <v>30000</v>
      </c>
      <c r="Q168" s="986"/>
      <c r="R168" s="986"/>
      <c r="S168" s="305"/>
      <c r="U168" s="1173"/>
    </row>
    <row r="169" spans="1:21" s="303" customFormat="1" ht="21" customHeight="1">
      <c r="A169" s="302"/>
      <c r="C169" s="993" t="s">
        <v>1046</v>
      </c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985"/>
      <c r="P169" s="175">
        <f>SUM(P170:P172)</f>
        <v>288190</v>
      </c>
      <c r="Q169" s="996"/>
      <c r="R169" s="996"/>
      <c r="S169" s="305"/>
      <c r="U169" s="1173"/>
    </row>
    <row r="170" spans="1:21" s="303" customFormat="1" ht="21" customHeight="1">
      <c r="A170" s="302"/>
      <c r="C170" s="267" t="s">
        <v>1030</v>
      </c>
      <c r="D170" s="329"/>
      <c r="E170" s="329"/>
      <c r="F170" s="329"/>
      <c r="G170" s="329"/>
      <c r="H170" s="329"/>
      <c r="I170" s="329"/>
      <c r="J170" s="329"/>
      <c r="K170" s="329"/>
      <c r="L170" s="325" t="s">
        <v>432</v>
      </c>
      <c r="M170" s="325"/>
      <c r="N170" s="325"/>
      <c r="O170" s="323">
        <v>120000</v>
      </c>
      <c r="P170" s="335">
        <f>O170</f>
        <v>120000</v>
      </c>
      <c r="Q170" s="331"/>
      <c r="R170" s="331"/>
      <c r="S170" s="305"/>
      <c r="U170" s="1173"/>
    </row>
    <row r="171" spans="1:21" s="303" customFormat="1" ht="21" customHeight="1">
      <c r="A171" s="302"/>
      <c r="C171" s="267" t="s">
        <v>1031</v>
      </c>
      <c r="D171" s="329"/>
      <c r="E171" s="329"/>
      <c r="F171" s="329"/>
      <c r="G171" s="329"/>
      <c r="H171" s="329"/>
      <c r="I171" s="329"/>
      <c r="J171" s="329"/>
      <c r="K171" s="329"/>
      <c r="L171" s="325" t="s">
        <v>432</v>
      </c>
      <c r="M171" s="325"/>
      <c r="N171" s="325"/>
      <c r="O171" s="323">
        <v>100000</v>
      </c>
      <c r="P171" s="335">
        <f t="shared" ref="P171:P172" si="21">O171</f>
        <v>100000</v>
      </c>
      <c r="Q171" s="331"/>
      <c r="R171" s="331"/>
      <c r="S171" s="305"/>
      <c r="U171" s="1173"/>
    </row>
    <row r="172" spans="1:21" s="303" customFormat="1" ht="21" customHeight="1">
      <c r="A172" s="302"/>
      <c r="C172" s="267" t="s">
        <v>1032</v>
      </c>
      <c r="D172" s="329"/>
      <c r="E172" s="329"/>
      <c r="F172" s="329"/>
      <c r="G172" s="329"/>
      <c r="H172" s="329"/>
      <c r="I172" s="329"/>
      <c r="J172" s="329"/>
      <c r="K172" s="329"/>
      <c r="L172" s="325" t="s">
        <v>432</v>
      </c>
      <c r="M172" s="325"/>
      <c r="N172" s="325"/>
      <c r="O172" s="323">
        <v>68190</v>
      </c>
      <c r="P172" s="335">
        <f t="shared" si="21"/>
        <v>68190</v>
      </c>
      <c r="Q172" s="331"/>
      <c r="R172" s="331"/>
      <c r="S172" s="305"/>
      <c r="U172" s="1173"/>
    </row>
    <row r="173" spans="1:21" s="303" customFormat="1" ht="21" customHeight="1">
      <c r="A173" s="302"/>
      <c r="C173" s="361" t="s">
        <v>1047</v>
      </c>
      <c r="D173" s="317"/>
      <c r="E173" s="317"/>
      <c r="F173" s="317"/>
      <c r="G173" s="317"/>
      <c r="H173" s="317"/>
      <c r="I173" s="319"/>
      <c r="J173" s="319"/>
      <c r="K173" s="319"/>
      <c r="L173" s="319"/>
      <c r="M173" s="319"/>
      <c r="N173" s="319"/>
      <c r="O173" s="318"/>
      <c r="P173" s="1528">
        <f>P174+P181+P188+P190+P198+P200+P205</f>
        <v>5154550</v>
      </c>
      <c r="Q173" s="332"/>
      <c r="R173" s="332"/>
      <c r="S173" s="305"/>
      <c r="U173" s="1173"/>
    </row>
    <row r="174" spans="1:21" s="303" customFormat="1" ht="21" customHeight="1">
      <c r="A174" s="302"/>
      <c r="C174" s="375" t="s">
        <v>1048</v>
      </c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8"/>
      <c r="P174" s="365">
        <f>SUM(P175:P180)</f>
        <v>2135200</v>
      </c>
      <c r="Q174" s="997"/>
      <c r="R174" s="997"/>
      <c r="S174" s="305"/>
      <c r="U174" s="1173"/>
    </row>
    <row r="175" spans="1:21" s="303" customFormat="1" ht="21" customHeight="1">
      <c r="A175" s="302"/>
      <c r="C175" s="372" t="s">
        <v>1049</v>
      </c>
      <c r="D175" s="373"/>
      <c r="E175" s="318"/>
      <c r="F175" s="318"/>
      <c r="G175" s="318"/>
      <c r="H175" s="318"/>
      <c r="I175" s="318"/>
      <c r="J175" s="318"/>
      <c r="K175" s="318"/>
      <c r="L175" s="323">
        <v>2500</v>
      </c>
      <c r="M175" s="324" t="s">
        <v>46</v>
      </c>
      <c r="N175" s="325"/>
      <c r="O175" s="323">
        <v>200</v>
      </c>
      <c r="P175" s="326">
        <f>O175*L175</f>
        <v>500000</v>
      </c>
      <c r="Q175" s="328"/>
      <c r="R175" s="328"/>
      <c r="S175" s="305"/>
      <c r="U175" s="1173"/>
    </row>
    <row r="176" spans="1:21" s="303" customFormat="1" ht="21" customHeight="1">
      <c r="A176" s="302"/>
      <c r="C176" s="364" t="s">
        <v>1050</v>
      </c>
      <c r="D176" s="318"/>
      <c r="E176" s="318"/>
      <c r="F176" s="318"/>
      <c r="G176" s="318"/>
      <c r="H176" s="318"/>
      <c r="I176" s="318"/>
      <c r="J176" s="318"/>
      <c r="K176" s="318"/>
      <c r="L176" s="323">
        <v>60</v>
      </c>
      <c r="M176" s="324" t="s">
        <v>33</v>
      </c>
      <c r="N176" s="325"/>
      <c r="O176" s="323">
        <v>5000</v>
      </c>
      <c r="P176" s="326">
        <f t="shared" ref="P176:P178" si="22">O176*L176</f>
        <v>300000</v>
      </c>
      <c r="Q176" s="328"/>
      <c r="R176" s="328"/>
      <c r="S176" s="305"/>
      <c r="U176" s="1173"/>
    </row>
    <row r="177" spans="1:21" s="303" customFormat="1" ht="21" customHeight="1">
      <c r="A177" s="302"/>
      <c r="C177" s="367" t="s">
        <v>1051</v>
      </c>
      <c r="D177" s="318"/>
      <c r="E177" s="318"/>
      <c r="F177" s="318"/>
      <c r="G177" s="318"/>
      <c r="H177" s="318"/>
      <c r="I177" s="318"/>
      <c r="J177" s="318"/>
      <c r="K177" s="318"/>
      <c r="L177" s="323">
        <v>1000</v>
      </c>
      <c r="M177" s="324" t="s">
        <v>46</v>
      </c>
      <c r="N177" s="325"/>
      <c r="O177" s="323">
        <v>100</v>
      </c>
      <c r="P177" s="326">
        <f t="shared" si="22"/>
        <v>100000</v>
      </c>
      <c r="Q177" s="328"/>
      <c r="R177" s="328"/>
      <c r="S177" s="305"/>
      <c r="U177" s="1173"/>
    </row>
    <row r="178" spans="1:21" s="303" customFormat="1" ht="21" customHeight="1">
      <c r="A178" s="302"/>
      <c r="C178" s="367" t="s">
        <v>1052</v>
      </c>
      <c r="D178" s="363"/>
      <c r="E178" s="318"/>
      <c r="F178" s="318"/>
      <c r="G178" s="318"/>
      <c r="H178" s="318"/>
      <c r="I178" s="318"/>
      <c r="J178" s="318"/>
      <c r="K178" s="318"/>
      <c r="L178" s="323">
        <v>60</v>
      </c>
      <c r="M178" s="324" t="s">
        <v>18</v>
      </c>
      <c r="N178" s="325"/>
      <c r="O178" s="323">
        <v>8000</v>
      </c>
      <c r="P178" s="326">
        <f t="shared" si="22"/>
        <v>480000</v>
      </c>
      <c r="Q178" s="328"/>
      <c r="R178" s="328"/>
      <c r="S178" s="305"/>
      <c r="U178" s="1173"/>
    </row>
    <row r="179" spans="1:21" s="303" customFormat="1" ht="21" customHeight="1">
      <c r="A179" s="302"/>
      <c r="C179" s="367" t="s">
        <v>1053</v>
      </c>
      <c r="D179" s="363"/>
      <c r="E179" s="318"/>
      <c r="F179" s="318"/>
      <c r="G179" s="318"/>
      <c r="H179" s="318"/>
      <c r="I179" s="318"/>
      <c r="J179" s="318"/>
      <c r="K179" s="318"/>
      <c r="L179" s="323" t="s">
        <v>432</v>
      </c>
      <c r="M179" s="324"/>
      <c r="N179" s="325"/>
      <c r="O179" s="323">
        <v>725200</v>
      </c>
      <c r="P179" s="326">
        <f>O179</f>
        <v>725200</v>
      </c>
      <c r="Q179" s="328"/>
      <c r="R179" s="328"/>
      <c r="S179" s="305"/>
      <c r="U179" s="1173"/>
    </row>
    <row r="180" spans="1:21" s="303" customFormat="1" ht="21" customHeight="1">
      <c r="A180" s="302"/>
      <c r="C180" s="367" t="s">
        <v>1054</v>
      </c>
      <c r="D180" s="363"/>
      <c r="E180" s="318"/>
      <c r="F180" s="318"/>
      <c r="G180" s="318"/>
      <c r="H180" s="318"/>
      <c r="I180" s="318"/>
      <c r="J180" s="318"/>
      <c r="K180" s="318"/>
      <c r="L180" s="323">
        <v>6</v>
      </c>
      <c r="M180" s="324" t="s">
        <v>19</v>
      </c>
      <c r="N180" s="325"/>
      <c r="O180" s="323">
        <v>5000</v>
      </c>
      <c r="P180" s="326">
        <f>O180*L180</f>
        <v>30000</v>
      </c>
      <c r="Q180" s="328"/>
      <c r="R180" s="328"/>
      <c r="S180" s="305"/>
      <c r="U180" s="1173"/>
    </row>
    <row r="181" spans="1:21" s="303" customFormat="1" ht="21" customHeight="1">
      <c r="A181" s="302"/>
      <c r="C181" s="370" t="s">
        <v>1055</v>
      </c>
      <c r="D181" s="363"/>
      <c r="E181" s="318"/>
      <c r="F181" s="318"/>
      <c r="G181" s="318"/>
      <c r="H181" s="318"/>
      <c r="I181" s="318"/>
      <c r="J181" s="318"/>
      <c r="K181" s="318"/>
      <c r="L181" s="323"/>
      <c r="M181" s="324"/>
      <c r="N181" s="325"/>
      <c r="O181" s="323"/>
      <c r="P181" s="337">
        <f>SUM(P182:P187)</f>
        <v>759300</v>
      </c>
      <c r="Q181" s="338"/>
      <c r="R181" s="338"/>
      <c r="S181" s="305"/>
      <c r="U181" s="1173"/>
    </row>
    <row r="182" spans="1:21" s="303" customFormat="1" ht="21" customHeight="1">
      <c r="A182" s="302"/>
      <c r="C182" s="362" t="s">
        <v>1056</v>
      </c>
      <c r="D182" s="363"/>
      <c r="E182" s="318"/>
      <c r="F182" s="318"/>
      <c r="G182" s="318"/>
      <c r="H182" s="318"/>
      <c r="I182" s="318"/>
      <c r="J182" s="318"/>
      <c r="K182" s="318"/>
      <c r="L182" s="323">
        <v>1000</v>
      </c>
      <c r="M182" s="324" t="s">
        <v>19</v>
      </c>
      <c r="N182" s="325"/>
      <c r="O182" s="323">
        <v>70</v>
      </c>
      <c r="P182" s="326">
        <f>O182*L182</f>
        <v>70000</v>
      </c>
      <c r="Q182" s="327"/>
      <c r="R182" s="327"/>
      <c r="S182" s="305"/>
      <c r="U182" s="1173"/>
    </row>
    <row r="183" spans="1:21" s="303" customFormat="1" ht="21" customHeight="1">
      <c r="A183" s="302"/>
      <c r="C183" s="372" t="s">
        <v>1057</v>
      </c>
      <c r="D183" s="373"/>
      <c r="E183" s="318"/>
      <c r="F183" s="318"/>
      <c r="G183" s="318"/>
      <c r="H183" s="318"/>
      <c r="I183" s="318"/>
      <c r="J183" s="318"/>
      <c r="K183" s="318"/>
      <c r="L183" s="323">
        <v>1000</v>
      </c>
      <c r="M183" s="324" t="s">
        <v>361</v>
      </c>
      <c r="N183" s="325"/>
      <c r="O183" s="323">
        <v>600</v>
      </c>
      <c r="P183" s="326">
        <f t="shared" ref="P183:P187" si="23">O183*L183</f>
        <v>600000</v>
      </c>
      <c r="Q183" s="328"/>
      <c r="R183" s="328"/>
      <c r="S183" s="305"/>
      <c r="U183" s="1173"/>
    </row>
    <row r="184" spans="1:21" s="303" customFormat="1" ht="21" customHeight="1">
      <c r="A184" s="302"/>
      <c r="C184" s="364" t="s">
        <v>1058</v>
      </c>
      <c r="D184" s="318"/>
      <c r="E184" s="318"/>
      <c r="F184" s="318"/>
      <c r="G184" s="318"/>
      <c r="H184" s="318"/>
      <c r="I184" s="318"/>
      <c r="J184" s="318"/>
      <c r="K184" s="318"/>
      <c r="L184" s="323">
        <v>35</v>
      </c>
      <c r="M184" s="324" t="s">
        <v>367</v>
      </c>
      <c r="N184" s="325"/>
      <c r="O184" s="323">
        <v>1200</v>
      </c>
      <c r="P184" s="326">
        <f t="shared" si="23"/>
        <v>42000</v>
      </c>
      <c r="Q184" s="328"/>
      <c r="R184" s="328"/>
      <c r="S184" s="305"/>
      <c r="U184" s="1173"/>
    </row>
    <row r="185" spans="1:21" s="303" customFormat="1" ht="21" customHeight="1">
      <c r="A185" s="1096"/>
      <c r="B185" s="1097"/>
      <c r="C185" s="367" t="s">
        <v>1059</v>
      </c>
      <c r="D185" s="363"/>
      <c r="E185" s="318"/>
      <c r="F185" s="318"/>
      <c r="G185" s="318"/>
      <c r="H185" s="318"/>
      <c r="I185" s="318"/>
      <c r="J185" s="318"/>
      <c r="K185" s="318"/>
      <c r="L185" s="323">
        <v>20</v>
      </c>
      <c r="M185" s="324" t="s">
        <v>17</v>
      </c>
      <c r="N185" s="325"/>
      <c r="O185" s="323">
        <v>240</v>
      </c>
      <c r="P185" s="326">
        <f t="shared" si="23"/>
        <v>4800</v>
      </c>
      <c r="Q185" s="328"/>
      <c r="R185" s="328"/>
      <c r="S185" s="305"/>
      <c r="U185" s="1173"/>
    </row>
    <row r="186" spans="1:21" s="303" customFormat="1" ht="21" customHeight="1">
      <c r="A186" s="302"/>
      <c r="C186" s="300" t="s">
        <v>1060</v>
      </c>
      <c r="D186" s="329"/>
      <c r="E186" s="329"/>
      <c r="F186" s="329"/>
      <c r="G186" s="329"/>
      <c r="H186" s="329"/>
      <c r="I186" s="329"/>
      <c r="J186" s="329"/>
      <c r="K186" s="329"/>
      <c r="L186" s="325">
        <v>25</v>
      </c>
      <c r="M186" s="324" t="s">
        <v>17</v>
      </c>
      <c r="N186" s="325"/>
      <c r="O186" s="323">
        <v>1200</v>
      </c>
      <c r="P186" s="326">
        <f t="shared" si="23"/>
        <v>30000</v>
      </c>
      <c r="Q186" s="328"/>
      <c r="R186" s="328"/>
      <c r="S186" s="305"/>
      <c r="U186" s="1173"/>
    </row>
    <row r="187" spans="1:21" s="303" customFormat="1" ht="21" customHeight="1">
      <c r="A187" s="302"/>
      <c r="C187" s="345" t="s">
        <v>1061</v>
      </c>
      <c r="D187" s="363"/>
      <c r="E187" s="318"/>
      <c r="F187" s="318"/>
      <c r="G187" s="318"/>
      <c r="H187" s="318"/>
      <c r="I187" s="318"/>
      <c r="J187" s="318"/>
      <c r="K187" s="318"/>
      <c r="L187" s="323">
        <v>5</v>
      </c>
      <c r="M187" s="324" t="s">
        <v>385</v>
      </c>
      <c r="N187" s="325"/>
      <c r="O187" s="323">
        <v>2500</v>
      </c>
      <c r="P187" s="326">
        <f t="shared" si="23"/>
        <v>12500</v>
      </c>
      <c r="Q187" s="327"/>
      <c r="R187" s="327"/>
      <c r="S187" s="305"/>
      <c r="U187" s="1173"/>
    </row>
    <row r="188" spans="1:21" s="303" customFormat="1" ht="21" customHeight="1">
      <c r="A188" s="302"/>
      <c r="C188" s="368" t="s">
        <v>1062</v>
      </c>
      <c r="D188" s="371"/>
      <c r="E188" s="317"/>
      <c r="F188" s="317"/>
      <c r="G188" s="317"/>
      <c r="H188" s="317"/>
      <c r="I188" s="318"/>
      <c r="J188" s="318"/>
      <c r="K188" s="318"/>
      <c r="L188" s="323"/>
      <c r="M188" s="324"/>
      <c r="N188" s="325"/>
      <c r="O188" s="323"/>
      <c r="P188" s="337">
        <f>P189</f>
        <v>105000</v>
      </c>
      <c r="Q188" s="336"/>
      <c r="R188" s="336"/>
      <c r="S188" s="305"/>
      <c r="U188" s="1173"/>
    </row>
    <row r="189" spans="1:21" s="303" customFormat="1" ht="21" customHeight="1">
      <c r="A189" s="302"/>
      <c r="C189" s="267" t="s">
        <v>1063</v>
      </c>
      <c r="D189" s="363"/>
      <c r="E189" s="318"/>
      <c r="F189" s="318"/>
      <c r="G189" s="318"/>
      <c r="H189" s="318"/>
      <c r="I189" s="318"/>
      <c r="J189" s="318"/>
      <c r="K189" s="318"/>
      <c r="L189" s="323">
        <v>3</v>
      </c>
      <c r="M189" s="324" t="s">
        <v>18</v>
      </c>
      <c r="N189" s="325"/>
      <c r="O189" s="323">
        <v>35000</v>
      </c>
      <c r="P189" s="326">
        <f>O189*L189</f>
        <v>105000</v>
      </c>
      <c r="Q189" s="328"/>
      <c r="R189" s="328"/>
      <c r="S189" s="305"/>
      <c r="U189" s="1173"/>
    </row>
    <row r="190" spans="1:21" s="303" customFormat="1" ht="21" customHeight="1">
      <c r="A190" s="302"/>
      <c r="C190" s="370" t="s">
        <v>1064</v>
      </c>
      <c r="D190" s="363"/>
      <c r="E190" s="318"/>
      <c r="F190" s="318"/>
      <c r="G190" s="318"/>
      <c r="H190" s="318"/>
      <c r="I190" s="318"/>
      <c r="J190" s="318"/>
      <c r="K190" s="318"/>
      <c r="L190" s="323"/>
      <c r="M190" s="324"/>
      <c r="N190" s="325"/>
      <c r="O190" s="323"/>
      <c r="P190" s="337">
        <f>SUM(P191:P197)</f>
        <v>1602860</v>
      </c>
      <c r="Q190" s="338"/>
      <c r="R190" s="338"/>
      <c r="S190" s="305"/>
      <c r="U190" s="1173"/>
    </row>
    <row r="191" spans="1:21" s="303" customFormat="1" ht="21" customHeight="1">
      <c r="A191" s="302"/>
      <c r="C191" s="267" t="s">
        <v>1065</v>
      </c>
      <c r="D191" s="363"/>
      <c r="E191" s="318"/>
      <c r="F191" s="318"/>
      <c r="G191" s="318"/>
      <c r="H191" s="318"/>
      <c r="I191" s="318"/>
      <c r="J191" s="318"/>
      <c r="K191" s="318"/>
      <c r="L191" s="323">
        <v>500</v>
      </c>
      <c r="M191" s="324" t="s">
        <v>19</v>
      </c>
      <c r="N191" s="325"/>
      <c r="O191" s="323">
        <v>2500</v>
      </c>
      <c r="P191" s="326">
        <f>O191*L191</f>
        <v>1250000</v>
      </c>
      <c r="Q191" s="328"/>
      <c r="R191" s="328"/>
      <c r="S191" s="305"/>
      <c r="U191" s="1173"/>
    </row>
    <row r="192" spans="1:21" s="303" customFormat="1" ht="21" customHeight="1">
      <c r="A192" s="302"/>
      <c r="C192" s="362" t="s">
        <v>1066</v>
      </c>
      <c r="D192" s="363"/>
      <c r="E192" s="318"/>
      <c r="F192" s="318"/>
      <c r="G192" s="318"/>
      <c r="H192" s="318"/>
      <c r="I192" s="318"/>
      <c r="J192" s="318"/>
      <c r="K192" s="318"/>
      <c r="L192" s="323">
        <v>500</v>
      </c>
      <c r="M192" s="324" t="s">
        <v>19</v>
      </c>
      <c r="N192" s="325"/>
      <c r="O192" s="323">
        <v>70</v>
      </c>
      <c r="P192" s="326">
        <f t="shared" ref="P192:P197" si="24">O192*L192</f>
        <v>35000</v>
      </c>
      <c r="Q192" s="327"/>
      <c r="R192" s="327"/>
      <c r="S192" s="305"/>
      <c r="U192" s="1173"/>
    </row>
    <row r="193" spans="1:21" s="303" customFormat="1" ht="21" customHeight="1">
      <c r="A193" s="302"/>
      <c r="C193" s="372" t="s">
        <v>1067</v>
      </c>
      <c r="D193" s="373"/>
      <c r="E193" s="318"/>
      <c r="F193" s="318"/>
      <c r="G193" s="318"/>
      <c r="H193" s="318"/>
      <c r="I193" s="318"/>
      <c r="J193" s="318"/>
      <c r="K193" s="318"/>
      <c r="L193" s="323">
        <v>500</v>
      </c>
      <c r="M193" s="324" t="s">
        <v>361</v>
      </c>
      <c r="N193" s="325"/>
      <c r="O193" s="323">
        <v>600</v>
      </c>
      <c r="P193" s="326">
        <f t="shared" si="24"/>
        <v>300000</v>
      </c>
      <c r="Q193" s="328"/>
      <c r="R193" s="328"/>
      <c r="S193" s="305"/>
      <c r="U193" s="1173"/>
    </row>
    <row r="194" spans="1:21" s="303" customFormat="1" ht="21" customHeight="1">
      <c r="A194" s="302"/>
      <c r="C194" s="364" t="s">
        <v>1068</v>
      </c>
      <c r="D194" s="318"/>
      <c r="E194" s="318"/>
      <c r="F194" s="318"/>
      <c r="G194" s="318"/>
      <c r="H194" s="318"/>
      <c r="I194" s="318"/>
      <c r="J194" s="318"/>
      <c r="K194" s="318"/>
      <c r="L194" s="323">
        <v>7</v>
      </c>
      <c r="M194" s="324" t="s">
        <v>367</v>
      </c>
      <c r="N194" s="325"/>
      <c r="O194" s="323">
        <v>1200</v>
      </c>
      <c r="P194" s="326">
        <f t="shared" si="24"/>
        <v>8400</v>
      </c>
      <c r="Q194" s="328"/>
      <c r="R194" s="328"/>
      <c r="S194" s="305"/>
      <c r="U194" s="1173"/>
    </row>
    <row r="195" spans="1:21" s="303" customFormat="1" ht="21" customHeight="1">
      <c r="A195" s="302"/>
      <c r="C195" s="367" t="s">
        <v>1069</v>
      </c>
      <c r="D195" s="363"/>
      <c r="E195" s="318"/>
      <c r="F195" s="318"/>
      <c r="G195" s="318"/>
      <c r="H195" s="318"/>
      <c r="I195" s="318"/>
      <c r="J195" s="318"/>
      <c r="K195" s="318"/>
      <c r="L195" s="323">
        <v>4</v>
      </c>
      <c r="M195" s="324" t="s">
        <v>17</v>
      </c>
      <c r="N195" s="325"/>
      <c r="O195" s="323">
        <v>240</v>
      </c>
      <c r="P195" s="326">
        <f t="shared" si="24"/>
        <v>960</v>
      </c>
      <c r="Q195" s="339"/>
      <c r="R195" s="339"/>
      <c r="S195" s="305"/>
      <c r="U195" s="1173"/>
    </row>
    <row r="196" spans="1:21" s="303" customFormat="1" ht="21" customHeight="1">
      <c r="A196" s="302"/>
      <c r="C196" s="300" t="s">
        <v>982</v>
      </c>
      <c r="D196" s="329"/>
      <c r="E196" s="329"/>
      <c r="F196" s="329"/>
      <c r="G196" s="329"/>
      <c r="H196" s="329"/>
      <c r="I196" s="329"/>
      <c r="J196" s="329"/>
      <c r="K196" s="329"/>
      <c r="L196" s="325">
        <v>5</v>
      </c>
      <c r="M196" s="324" t="s">
        <v>17</v>
      </c>
      <c r="N196" s="325"/>
      <c r="O196" s="323">
        <v>1200</v>
      </c>
      <c r="P196" s="326">
        <f t="shared" si="24"/>
        <v>6000</v>
      </c>
      <c r="Q196" s="328"/>
      <c r="R196" s="328"/>
      <c r="S196" s="305"/>
      <c r="U196" s="1173"/>
    </row>
    <row r="197" spans="1:21" s="303" customFormat="1" ht="21" customHeight="1">
      <c r="A197" s="302"/>
      <c r="C197" s="345" t="s">
        <v>983</v>
      </c>
      <c r="D197" s="363"/>
      <c r="E197" s="318"/>
      <c r="F197" s="318"/>
      <c r="G197" s="318"/>
      <c r="H197" s="318"/>
      <c r="I197" s="318"/>
      <c r="J197" s="318"/>
      <c r="K197" s="318"/>
      <c r="L197" s="323">
        <v>1</v>
      </c>
      <c r="M197" s="324" t="s">
        <v>385</v>
      </c>
      <c r="N197" s="325"/>
      <c r="O197" s="323">
        <v>2500</v>
      </c>
      <c r="P197" s="326">
        <f t="shared" si="24"/>
        <v>2500</v>
      </c>
      <c r="Q197" s="327"/>
      <c r="R197" s="327"/>
      <c r="S197" s="305"/>
      <c r="U197" s="1173"/>
    </row>
    <row r="198" spans="1:21" s="303" customFormat="1" ht="21" customHeight="1">
      <c r="A198" s="302"/>
      <c r="C198" s="370" t="s">
        <v>1070</v>
      </c>
      <c r="D198" s="998"/>
      <c r="E198" s="999"/>
      <c r="F198" s="318"/>
      <c r="G198" s="318"/>
      <c r="H198" s="318"/>
      <c r="I198" s="318"/>
      <c r="J198" s="318"/>
      <c r="K198" s="318"/>
      <c r="L198" s="323"/>
      <c r="M198" s="324"/>
      <c r="N198" s="325"/>
      <c r="O198" s="323"/>
      <c r="P198" s="337">
        <f>P199</f>
        <v>200000</v>
      </c>
      <c r="Q198" s="338"/>
      <c r="R198" s="338"/>
      <c r="S198" s="305"/>
      <c r="U198" s="1173"/>
    </row>
    <row r="199" spans="1:21" s="303" customFormat="1" ht="21" customHeight="1">
      <c r="A199" s="302"/>
      <c r="C199" s="130" t="s">
        <v>1071</v>
      </c>
      <c r="D199" s="1000"/>
      <c r="E199" s="318"/>
      <c r="F199" s="318"/>
      <c r="G199" s="318"/>
      <c r="H199" s="318"/>
      <c r="I199" s="318"/>
      <c r="J199" s="318"/>
      <c r="K199" s="318"/>
      <c r="L199" s="323"/>
      <c r="M199" s="324"/>
      <c r="N199" s="325"/>
      <c r="O199" s="323"/>
      <c r="P199" s="326">
        <v>200000</v>
      </c>
      <c r="Q199" s="339"/>
      <c r="R199" s="339"/>
      <c r="S199" s="305"/>
      <c r="U199" s="1173"/>
    </row>
    <row r="200" spans="1:21" s="303" customFormat="1" ht="21" customHeight="1">
      <c r="A200" s="302"/>
      <c r="C200" s="370" t="s">
        <v>1072</v>
      </c>
      <c r="D200" s="363"/>
      <c r="E200" s="318"/>
      <c r="F200" s="318"/>
      <c r="G200" s="318"/>
      <c r="H200" s="318"/>
      <c r="I200" s="318"/>
      <c r="J200" s="318"/>
      <c r="K200" s="318"/>
      <c r="L200" s="323"/>
      <c r="M200" s="324"/>
      <c r="N200" s="325"/>
      <c r="O200" s="323"/>
      <c r="P200" s="337">
        <f>SUM(P201:P204)</f>
        <v>57000</v>
      </c>
      <c r="Q200" s="336"/>
      <c r="R200" s="336"/>
      <c r="S200" s="305"/>
      <c r="U200" s="1173"/>
    </row>
    <row r="201" spans="1:21" s="303" customFormat="1" ht="21" customHeight="1">
      <c r="A201" s="302"/>
      <c r="C201" s="372" t="s">
        <v>985</v>
      </c>
      <c r="D201" s="363"/>
      <c r="E201" s="318"/>
      <c r="F201" s="318"/>
      <c r="G201" s="318"/>
      <c r="H201" s="318"/>
      <c r="I201" s="318"/>
      <c r="J201" s="318"/>
      <c r="K201" s="318"/>
      <c r="L201" s="323">
        <v>100</v>
      </c>
      <c r="M201" s="324" t="s">
        <v>457</v>
      </c>
      <c r="N201" s="325"/>
      <c r="O201" s="323">
        <v>100</v>
      </c>
      <c r="P201" s="326">
        <f>O201*L201</f>
        <v>10000</v>
      </c>
      <c r="Q201" s="328"/>
      <c r="R201" s="328"/>
      <c r="S201" s="305"/>
      <c r="U201" s="1173"/>
    </row>
    <row r="202" spans="1:21" s="303" customFormat="1" ht="21" customHeight="1">
      <c r="A202" s="302"/>
      <c r="C202" s="367" t="s">
        <v>986</v>
      </c>
      <c r="D202" s="363"/>
      <c r="E202" s="318"/>
      <c r="F202" s="318"/>
      <c r="G202" s="318"/>
      <c r="H202" s="318"/>
      <c r="I202" s="318"/>
      <c r="J202" s="318"/>
      <c r="K202" s="318"/>
      <c r="L202" s="325">
        <v>10</v>
      </c>
      <c r="M202" s="324" t="s">
        <v>457</v>
      </c>
      <c r="N202" s="325"/>
      <c r="O202" s="323">
        <v>500</v>
      </c>
      <c r="P202" s="326">
        <f t="shared" ref="P202:P204" si="25">O202*L202</f>
        <v>5000</v>
      </c>
      <c r="Q202" s="328"/>
      <c r="R202" s="328"/>
      <c r="S202" s="305"/>
      <c r="U202" s="1173"/>
    </row>
    <row r="203" spans="1:21" ht="21" customHeight="1">
      <c r="A203" s="299"/>
      <c r="C203" s="367" t="s">
        <v>987</v>
      </c>
      <c r="D203" s="363"/>
      <c r="E203" s="318"/>
      <c r="F203" s="318"/>
      <c r="G203" s="318"/>
      <c r="H203" s="318"/>
      <c r="I203" s="318"/>
      <c r="J203" s="318"/>
      <c r="K203" s="318"/>
      <c r="L203" s="325">
        <v>20</v>
      </c>
      <c r="M203" s="324" t="s">
        <v>457</v>
      </c>
      <c r="N203" s="325"/>
      <c r="O203" s="323">
        <v>600</v>
      </c>
      <c r="P203" s="326">
        <f t="shared" si="25"/>
        <v>12000</v>
      </c>
      <c r="Q203" s="328"/>
      <c r="R203" s="328"/>
      <c r="S203" s="305"/>
      <c r="U203" s="1173"/>
    </row>
    <row r="204" spans="1:21" ht="21" customHeight="1">
      <c r="A204" s="299"/>
      <c r="C204" s="367" t="s">
        <v>988</v>
      </c>
      <c r="D204" s="306"/>
      <c r="E204" s="306"/>
      <c r="F204" s="306"/>
      <c r="G204" s="306"/>
      <c r="H204" s="306"/>
      <c r="I204" s="306"/>
      <c r="J204" s="306"/>
      <c r="K204" s="306"/>
      <c r="L204" s="305">
        <v>20</v>
      </c>
      <c r="M204" s="324" t="s">
        <v>457</v>
      </c>
      <c r="N204" s="305"/>
      <c r="O204" s="330">
        <v>1500</v>
      </c>
      <c r="P204" s="326">
        <f t="shared" si="25"/>
        <v>30000</v>
      </c>
      <c r="Q204" s="328"/>
      <c r="R204" s="328"/>
      <c r="S204" s="305"/>
      <c r="U204" s="1173"/>
    </row>
    <row r="205" spans="1:21" ht="21" customHeight="1">
      <c r="A205" s="299"/>
      <c r="C205" s="993" t="s">
        <v>1073</v>
      </c>
      <c r="D205" s="329"/>
      <c r="E205" s="329"/>
      <c r="F205" s="329"/>
      <c r="G205" s="329"/>
      <c r="H205" s="329"/>
      <c r="I205" s="329"/>
      <c r="J205" s="329"/>
      <c r="K205" s="329"/>
      <c r="L205" s="329"/>
      <c r="M205" s="329"/>
      <c r="N205" s="329"/>
      <c r="O205" s="985"/>
      <c r="P205" s="175">
        <f>SUM(P206:P208)</f>
        <v>295190</v>
      </c>
      <c r="Q205" s="341"/>
      <c r="R205" s="341"/>
      <c r="S205" s="305"/>
      <c r="U205" s="1173"/>
    </row>
    <row r="206" spans="1:21" ht="21" customHeight="1">
      <c r="A206" s="299"/>
      <c r="C206" s="267" t="s">
        <v>1074</v>
      </c>
      <c r="D206" s="329"/>
      <c r="E206" s="329"/>
      <c r="F206" s="329"/>
      <c r="G206" s="329"/>
      <c r="H206" s="329"/>
      <c r="I206" s="329"/>
      <c r="J206" s="329"/>
      <c r="K206" s="329"/>
      <c r="L206" s="325" t="s">
        <v>432</v>
      </c>
      <c r="M206" s="325"/>
      <c r="N206" s="325"/>
      <c r="O206" s="323">
        <v>127000</v>
      </c>
      <c r="P206" s="335">
        <f>O206</f>
        <v>127000</v>
      </c>
      <c r="Q206" s="331"/>
      <c r="R206" s="331"/>
      <c r="S206" s="305"/>
      <c r="U206" s="1173"/>
    </row>
    <row r="207" spans="1:21" ht="21" customHeight="1">
      <c r="A207" s="299"/>
      <c r="C207" s="267" t="s">
        <v>1075</v>
      </c>
      <c r="D207" s="329"/>
      <c r="E207" s="329"/>
      <c r="F207" s="329"/>
      <c r="G207" s="329"/>
      <c r="H207" s="329"/>
      <c r="I207" s="329"/>
      <c r="J207" s="329"/>
      <c r="K207" s="329"/>
      <c r="L207" s="325"/>
      <c r="M207" s="325"/>
      <c r="N207" s="325"/>
      <c r="O207" s="323">
        <v>100000</v>
      </c>
      <c r="P207" s="335">
        <f t="shared" ref="P207:P208" si="26">O207</f>
        <v>100000</v>
      </c>
      <c r="Q207" s="331"/>
      <c r="R207" s="331"/>
      <c r="S207" s="305"/>
      <c r="U207" s="1173"/>
    </row>
    <row r="208" spans="1:21" ht="21" customHeight="1">
      <c r="A208" s="299"/>
      <c r="C208" s="267" t="s">
        <v>1076</v>
      </c>
      <c r="D208" s="329"/>
      <c r="E208" s="329"/>
      <c r="F208" s="329"/>
      <c r="G208" s="329"/>
      <c r="H208" s="329"/>
      <c r="I208" s="329"/>
      <c r="J208" s="329"/>
      <c r="K208" s="329"/>
      <c r="L208" s="325" t="s">
        <v>432</v>
      </c>
      <c r="M208" s="325"/>
      <c r="N208" s="325"/>
      <c r="O208" s="323">
        <v>68190</v>
      </c>
      <c r="P208" s="335">
        <f t="shared" si="26"/>
        <v>68190</v>
      </c>
      <c r="Q208" s="342"/>
      <c r="R208" s="342"/>
      <c r="S208" s="305"/>
      <c r="U208" s="1173"/>
    </row>
    <row r="209" spans="1:21" ht="21" customHeight="1">
      <c r="A209" s="299"/>
      <c r="C209" s="994" t="s">
        <v>1077</v>
      </c>
      <c r="D209" s="329"/>
      <c r="E209" s="329"/>
      <c r="F209" s="329"/>
      <c r="G209" s="329"/>
      <c r="H209" s="329"/>
      <c r="I209" s="329"/>
      <c r="J209" s="329"/>
      <c r="K209" s="329"/>
      <c r="L209" s="329"/>
      <c r="M209" s="329"/>
      <c r="N209" s="329"/>
      <c r="O209" s="329"/>
      <c r="P209" s="433">
        <f>P210+P217+P222+P227</f>
        <v>14285630</v>
      </c>
      <c r="Q209" s="996"/>
      <c r="R209" s="996"/>
      <c r="S209" s="305"/>
      <c r="U209" s="1173"/>
    </row>
    <row r="210" spans="1:21" ht="21" customHeight="1">
      <c r="A210" s="299"/>
      <c r="C210" s="1001" t="s">
        <v>1078</v>
      </c>
      <c r="D210" s="1002"/>
      <c r="E210" s="1002"/>
      <c r="F210" s="1002"/>
      <c r="G210" s="1002"/>
      <c r="H210" s="1002"/>
      <c r="I210" s="1002"/>
      <c r="J210" s="1002"/>
      <c r="K210" s="1002"/>
      <c r="L210" s="1002"/>
      <c r="M210" s="1002"/>
      <c r="N210" s="1002"/>
      <c r="O210" s="1003"/>
      <c r="P210" s="175">
        <f>SUM(P211:P216)</f>
        <v>607440</v>
      </c>
      <c r="Q210" s="341"/>
      <c r="R210" s="341"/>
      <c r="S210" s="305"/>
      <c r="U210" s="1173"/>
    </row>
    <row r="211" spans="1:21" ht="21" customHeight="1">
      <c r="A211" s="344"/>
      <c r="B211" s="1429"/>
      <c r="C211" s="345" t="s">
        <v>1079</v>
      </c>
      <c r="D211" s="329"/>
      <c r="E211" s="329"/>
      <c r="F211" s="329"/>
      <c r="G211" s="329"/>
      <c r="H211" s="329"/>
      <c r="I211" s="329"/>
      <c r="J211" s="329"/>
      <c r="K211" s="329"/>
      <c r="L211" s="325">
        <v>800</v>
      </c>
      <c r="M211" s="324" t="s">
        <v>1080</v>
      </c>
      <c r="N211" s="325"/>
      <c r="O211" s="323">
        <v>70</v>
      </c>
      <c r="P211" s="335">
        <f>O211*L211</f>
        <v>56000</v>
      </c>
      <c r="Q211" s="331"/>
      <c r="R211" s="331"/>
      <c r="S211" s="305"/>
      <c r="U211" s="1173"/>
    </row>
    <row r="212" spans="1:21" ht="21" customHeight="1">
      <c r="A212" s="299"/>
      <c r="C212" s="364" t="s">
        <v>1081</v>
      </c>
      <c r="D212" s="329"/>
      <c r="E212" s="329"/>
      <c r="F212" s="329"/>
      <c r="G212" s="329"/>
      <c r="H212" s="329"/>
      <c r="I212" s="329"/>
      <c r="J212" s="329"/>
      <c r="K212" s="329"/>
      <c r="L212" s="325">
        <v>800</v>
      </c>
      <c r="M212" s="324" t="s">
        <v>17</v>
      </c>
      <c r="N212" s="325"/>
      <c r="O212" s="323">
        <v>600</v>
      </c>
      <c r="P212" s="335">
        <f t="shared" ref="P212:P215" si="27">O212*L212</f>
        <v>480000</v>
      </c>
      <c r="Q212" s="331"/>
      <c r="R212" s="331"/>
      <c r="S212" s="305"/>
      <c r="U212" s="1173"/>
    </row>
    <row r="213" spans="1:21" ht="21" customHeight="1">
      <c r="A213" s="299"/>
      <c r="C213" s="367" t="s">
        <v>1082</v>
      </c>
      <c r="D213" s="329"/>
      <c r="E213" s="329"/>
      <c r="F213" s="329"/>
      <c r="G213" s="329"/>
      <c r="H213" s="329"/>
      <c r="I213" s="329"/>
      <c r="J213" s="329"/>
      <c r="K213" s="329"/>
      <c r="L213" s="325">
        <v>28</v>
      </c>
      <c r="M213" s="324" t="s">
        <v>367</v>
      </c>
      <c r="N213" s="325"/>
      <c r="O213" s="323">
        <v>1200</v>
      </c>
      <c r="P213" s="335">
        <f t="shared" si="27"/>
        <v>33600</v>
      </c>
      <c r="Q213" s="331"/>
      <c r="R213" s="331"/>
      <c r="S213" s="305"/>
      <c r="U213" s="1173"/>
    </row>
    <row r="214" spans="1:21" ht="21" customHeight="1">
      <c r="A214" s="299"/>
      <c r="C214" s="300" t="s">
        <v>1083</v>
      </c>
      <c r="D214" s="329"/>
      <c r="E214" s="329"/>
      <c r="F214" s="329"/>
      <c r="G214" s="329"/>
      <c r="H214" s="329"/>
      <c r="I214" s="329"/>
      <c r="J214" s="329"/>
      <c r="K214" s="329"/>
      <c r="L214" s="325">
        <v>20</v>
      </c>
      <c r="M214" s="324" t="s">
        <v>17</v>
      </c>
      <c r="N214" s="325"/>
      <c r="O214" s="323">
        <v>1200</v>
      </c>
      <c r="P214" s="335">
        <f t="shared" si="27"/>
        <v>24000</v>
      </c>
      <c r="Q214" s="331"/>
      <c r="R214" s="331"/>
      <c r="S214" s="305"/>
      <c r="U214" s="1173"/>
    </row>
    <row r="215" spans="1:21" ht="21" customHeight="1">
      <c r="A215" s="299"/>
      <c r="C215" s="300" t="s">
        <v>1084</v>
      </c>
      <c r="D215" s="329"/>
      <c r="E215" s="329"/>
      <c r="F215" s="329"/>
      <c r="G215" s="329"/>
      <c r="H215" s="329"/>
      <c r="I215" s="329"/>
      <c r="J215" s="329"/>
      <c r="K215" s="329"/>
      <c r="L215" s="325">
        <v>16</v>
      </c>
      <c r="M215" s="324" t="s">
        <v>17</v>
      </c>
      <c r="N215" s="325"/>
      <c r="O215" s="323">
        <v>240</v>
      </c>
      <c r="P215" s="335">
        <f t="shared" si="27"/>
        <v>3840</v>
      </c>
      <c r="Q215" s="331"/>
      <c r="R215" s="331"/>
      <c r="S215" s="305"/>
      <c r="U215" s="1173"/>
    </row>
    <row r="216" spans="1:21" ht="21" customHeight="1">
      <c r="A216" s="299"/>
      <c r="C216" s="982" t="s">
        <v>1085</v>
      </c>
      <c r="D216" s="329"/>
      <c r="E216" s="329"/>
      <c r="F216" s="329"/>
      <c r="G216" s="329"/>
      <c r="H216" s="329"/>
      <c r="I216" s="329"/>
      <c r="J216" s="329"/>
      <c r="K216" s="329"/>
      <c r="L216" s="325">
        <v>4</v>
      </c>
      <c r="M216" s="324" t="s">
        <v>33</v>
      </c>
      <c r="N216" s="325"/>
      <c r="O216" s="323">
        <v>2500</v>
      </c>
      <c r="P216" s="335">
        <f>O216*L216</f>
        <v>10000</v>
      </c>
      <c r="Q216" s="991"/>
      <c r="R216" s="991"/>
      <c r="S216" s="305"/>
      <c r="U216" s="1173"/>
    </row>
    <row r="217" spans="1:21" ht="21" customHeight="1">
      <c r="A217" s="299"/>
      <c r="C217" s="1001" t="s">
        <v>1086</v>
      </c>
      <c r="D217" s="1002"/>
      <c r="E217" s="1002"/>
      <c r="F217" s="1002"/>
      <c r="G217" s="1002"/>
      <c r="H217" s="1002"/>
      <c r="I217" s="1002"/>
      <c r="J217" s="1002"/>
      <c r="K217" s="1002"/>
      <c r="L217" s="1002"/>
      <c r="M217" s="1002"/>
      <c r="N217" s="1002"/>
      <c r="O217" s="1003"/>
      <c r="P217" s="337">
        <f>SUM(P218:P221)</f>
        <v>13146000</v>
      </c>
      <c r="Q217" s="336"/>
      <c r="R217" s="336"/>
      <c r="S217" s="305"/>
      <c r="U217" s="1173"/>
    </row>
    <row r="218" spans="1:21" ht="21" customHeight="1">
      <c r="A218" s="299"/>
      <c r="C218" s="981" t="s">
        <v>1087</v>
      </c>
      <c r="D218" s="329"/>
      <c r="E218" s="329"/>
      <c r="F218" s="329"/>
      <c r="G218" s="329"/>
      <c r="H218" s="329"/>
      <c r="I218" s="329"/>
      <c r="J218" s="329"/>
      <c r="K218" s="329"/>
      <c r="L218" s="323">
        <v>1400</v>
      </c>
      <c r="M218" s="324" t="s">
        <v>1080</v>
      </c>
      <c r="N218" s="325"/>
      <c r="O218" s="323">
        <v>70</v>
      </c>
      <c r="P218" s="326">
        <f>O218*L218</f>
        <v>98000</v>
      </c>
      <c r="Q218" s="327"/>
      <c r="R218" s="327"/>
      <c r="S218" s="305"/>
      <c r="U218" s="1173"/>
    </row>
    <row r="219" spans="1:21" ht="21" customHeight="1">
      <c r="A219" s="299"/>
      <c r="C219" s="345" t="s">
        <v>1088</v>
      </c>
      <c r="D219" s="329"/>
      <c r="E219" s="329"/>
      <c r="F219" s="329"/>
      <c r="G219" s="329"/>
      <c r="H219" s="329"/>
      <c r="I219" s="329"/>
      <c r="J219" s="329"/>
      <c r="K219" s="329"/>
      <c r="L219" s="323">
        <v>1400</v>
      </c>
      <c r="M219" s="324" t="s">
        <v>1089</v>
      </c>
      <c r="N219" s="325"/>
      <c r="O219" s="323">
        <v>2500</v>
      </c>
      <c r="P219" s="326">
        <f>O219*L219*2</f>
        <v>7000000</v>
      </c>
      <c r="Q219" s="327"/>
      <c r="R219" s="266"/>
      <c r="S219" s="305"/>
      <c r="U219" s="1173"/>
    </row>
    <row r="220" spans="1:21" ht="21" customHeight="1">
      <c r="A220" s="299"/>
      <c r="C220" s="300" t="s">
        <v>1090</v>
      </c>
      <c r="D220" s="329"/>
      <c r="E220" s="329"/>
      <c r="F220" s="329"/>
      <c r="G220" s="329"/>
      <c r="H220" s="329"/>
      <c r="I220" s="329"/>
      <c r="J220" s="329"/>
      <c r="K220" s="329"/>
      <c r="L220" s="323">
        <v>4200</v>
      </c>
      <c r="M220" s="324" t="s">
        <v>389</v>
      </c>
      <c r="N220" s="325"/>
      <c r="O220" s="323">
        <v>240</v>
      </c>
      <c r="P220" s="326">
        <f t="shared" ref="P220:P221" si="28">O220*L220</f>
        <v>1008000</v>
      </c>
      <c r="Q220" s="328"/>
      <c r="R220" s="328"/>
      <c r="S220" s="305"/>
      <c r="U220" s="1173"/>
    </row>
    <row r="221" spans="1:21" ht="21" customHeight="1">
      <c r="A221" s="299"/>
      <c r="C221" s="300" t="s">
        <v>1091</v>
      </c>
      <c r="D221" s="329"/>
      <c r="E221" s="329"/>
      <c r="F221" s="329"/>
      <c r="G221" s="329"/>
      <c r="H221" s="329"/>
      <c r="I221" s="329"/>
      <c r="J221" s="329"/>
      <c r="K221" s="329"/>
      <c r="L221" s="323">
        <v>4200</v>
      </c>
      <c r="M221" s="324" t="s">
        <v>1092</v>
      </c>
      <c r="N221" s="325"/>
      <c r="O221" s="323">
        <v>1200</v>
      </c>
      <c r="P221" s="326">
        <f t="shared" si="28"/>
        <v>5040000</v>
      </c>
      <c r="Q221" s="328"/>
      <c r="R221" s="328"/>
      <c r="S221" s="305"/>
      <c r="U221" s="1173"/>
    </row>
    <row r="222" spans="1:21" ht="21" customHeight="1">
      <c r="A222" s="299"/>
      <c r="C222" s="1004" t="s">
        <v>1093</v>
      </c>
      <c r="D222" s="1002"/>
      <c r="E222" s="1002"/>
      <c r="F222" s="1002"/>
      <c r="G222" s="1002"/>
      <c r="H222" s="1002"/>
      <c r="I222" s="1002"/>
      <c r="J222" s="1002"/>
      <c r="K222" s="1002"/>
      <c r="L222" s="1002"/>
      <c r="M222" s="1002"/>
      <c r="N222" s="1002"/>
      <c r="O222" s="1005"/>
      <c r="P222" s="175">
        <f>SUM(P223:P226)</f>
        <v>244000</v>
      </c>
      <c r="Q222" s="996"/>
      <c r="R222" s="996"/>
      <c r="S222" s="305"/>
      <c r="U222" s="1173"/>
    </row>
    <row r="223" spans="1:21" ht="31.5" customHeight="1">
      <c r="A223" s="299"/>
      <c r="C223" s="372" t="s">
        <v>1094</v>
      </c>
      <c r="D223" s="329"/>
      <c r="E223" s="329"/>
      <c r="F223" s="329"/>
      <c r="G223" s="329"/>
      <c r="H223" s="329"/>
      <c r="I223" s="329"/>
      <c r="J223" s="329"/>
      <c r="K223" s="329"/>
      <c r="L223" s="325">
        <v>200</v>
      </c>
      <c r="M223" s="324" t="s">
        <v>427</v>
      </c>
      <c r="N223" s="325"/>
      <c r="O223" s="323">
        <v>200</v>
      </c>
      <c r="P223" s="183">
        <f>O223*L223</f>
        <v>40000</v>
      </c>
      <c r="Q223" s="986"/>
      <c r="R223" s="986"/>
      <c r="S223" s="305"/>
      <c r="U223" s="1173"/>
    </row>
    <row r="224" spans="1:21" ht="21" customHeight="1">
      <c r="A224" s="299"/>
      <c r="C224" s="367" t="s">
        <v>1095</v>
      </c>
      <c r="D224" s="329"/>
      <c r="E224" s="329"/>
      <c r="F224" s="329"/>
      <c r="G224" s="329"/>
      <c r="H224" s="329"/>
      <c r="I224" s="329"/>
      <c r="J224" s="329"/>
      <c r="K224" s="329"/>
      <c r="L224" s="325">
        <v>40</v>
      </c>
      <c r="M224" s="324" t="s">
        <v>457</v>
      </c>
      <c r="N224" s="325"/>
      <c r="O224" s="323">
        <v>500</v>
      </c>
      <c r="P224" s="183">
        <f t="shared" ref="P224:P226" si="29">O224*L224</f>
        <v>20000</v>
      </c>
      <c r="Q224" s="986"/>
      <c r="R224" s="986"/>
      <c r="S224" s="305"/>
      <c r="U224" s="1173"/>
    </row>
    <row r="225" spans="1:21" ht="21" customHeight="1">
      <c r="A225" s="299"/>
      <c r="C225" s="367" t="s">
        <v>1096</v>
      </c>
      <c r="D225" s="329"/>
      <c r="E225" s="329"/>
      <c r="F225" s="329"/>
      <c r="G225" s="329"/>
      <c r="H225" s="329"/>
      <c r="I225" s="329"/>
      <c r="J225" s="329"/>
      <c r="K225" s="329"/>
      <c r="L225" s="325">
        <v>40</v>
      </c>
      <c r="M225" s="324" t="s">
        <v>457</v>
      </c>
      <c r="N225" s="325"/>
      <c r="O225" s="323">
        <v>600</v>
      </c>
      <c r="P225" s="183">
        <f t="shared" si="29"/>
        <v>24000</v>
      </c>
      <c r="Q225" s="986"/>
      <c r="R225" s="986"/>
      <c r="S225" s="305"/>
      <c r="U225" s="1173"/>
    </row>
    <row r="226" spans="1:21" ht="21" customHeight="1">
      <c r="A226" s="299"/>
      <c r="C226" s="367" t="s">
        <v>1097</v>
      </c>
      <c r="D226" s="329"/>
      <c r="E226" s="329"/>
      <c r="F226" s="329"/>
      <c r="G226" s="329"/>
      <c r="H226" s="329"/>
      <c r="I226" s="329"/>
      <c r="J226" s="329"/>
      <c r="K226" s="329"/>
      <c r="L226" s="325">
        <v>80</v>
      </c>
      <c r="M226" s="324" t="s">
        <v>457</v>
      </c>
      <c r="N226" s="325"/>
      <c r="O226" s="323">
        <v>2000</v>
      </c>
      <c r="P226" s="183">
        <f t="shared" si="29"/>
        <v>160000</v>
      </c>
      <c r="Q226" s="986"/>
      <c r="R226" s="986"/>
      <c r="S226" s="305"/>
      <c r="U226" s="1173"/>
    </row>
    <row r="227" spans="1:21" ht="21" customHeight="1">
      <c r="A227" s="299"/>
      <c r="C227" s="993" t="s">
        <v>1098</v>
      </c>
      <c r="D227" s="1002"/>
      <c r="E227" s="1002"/>
      <c r="F227" s="1002"/>
      <c r="G227" s="1002"/>
      <c r="H227" s="1002"/>
      <c r="I227" s="1002"/>
      <c r="J227" s="1002"/>
      <c r="K227" s="1002"/>
      <c r="L227" s="1002"/>
      <c r="M227" s="1002"/>
      <c r="N227" s="1002"/>
      <c r="O227" s="1005"/>
      <c r="P227" s="175">
        <f>SUM(P228:P230)</f>
        <v>288190</v>
      </c>
      <c r="Q227" s="341"/>
      <c r="R227" s="341"/>
      <c r="S227" s="305"/>
      <c r="U227" s="1173"/>
    </row>
    <row r="228" spans="1:21" ht="21" customHeight="1">
      <c r="A228" s="299"/>
      <c r="C228" s="267" t="s">
        <v>1074</v>
      </c>
      <c r="D228" s="329"/>
      <c r="E228" s="329"/>
      <c r="F228" s="329"/>
      <c r="G228" s="329"/>
      <c r="H228" s="329"/>
      <c r="I228" s="329"/>
      <c r="J228" s="329"/>
      <c r="K228" s="329"/>
      <c r="L228" s="325"/>
      <c r="M228" s="325"/>
      <c r="N228" s="325"/>
      <c r="O228" s="323">
        <v>120000</v>
      </c>
      <c r="P228" s="335">
        <f>O228</f>
        <v>120000</v>
      </c>
      <c r="Q228" s="331"/>
      <c r="R228" s="331"/>
      <c r="S228" s="305"/>
      <c r="U228" s="1173"/>
    </row>
    <row r="229" spans="1:21" ht="21" customHeight="1">
      <c r="A229" s="299"/>
      <c r="C229" s="267" t="s">
        <v>1075</v>
      </c>
      <c r="D229" s="329"/>
      <c r="E229" s="329"/>
      <c r="F229" s="329"/>
      <c r="G229" s="329"/>
      <c r="H229" s="329"/>
      <c r="I229" s="329"/>
      <c r="J229" s="329"/>
      <c r="K229" s="329"/>
      <c r="L229" s="325"/>
      <c r="M229" s="325"/>
      <c r="N229" s="325"/>
      <c r="O229" s="323">
        <v>100000</v>
      </c>
      <c r="P229" s="335">
        <f t="shared" ref="P229:P230" si="30">O229</f>
        <v>100000</v>
      </c>
      <c r="Q229" s="331"/>
      <c r="R229" s="331"/>
      <c r="S229" s="305"/>
      <c r="U229" s="1173"/>
    </row>
    <row r="230" spans="1:21" ht="21" customHeight="1">
      <c r="A230" s="299"/>
      <c r="C230" s="267" t="s">
        <v>1076</v>
      </c>
      <c r="D230" s="329"/>
      <c r="E230" s="329"/>
      <c r="F230" s="329"/>
      <c r="G230" s="329"/>
      <c r="H230" s="329"/>
      <c r="I230" s="329"/>
      <c r="J230" s="329"/>
      <c r="K230" s="329"/>
      <c r="L230" s="325"/>
      <c r="M230" s="325"/>
      <c r="N230" s="325"/>
      <c r="O230" s="323">
        <v>68190</v>
      </c>
      <c r="P230" s="335">
        <f t="shared" si="30"/>
        <v>68190</v>
      </c>
      <c r="Q230" s="342"/>
      <c r="R230" s="342"/>
      <c r="S230" s="305"/>
      <c r="U230" s="1173"/>
    </row>
    <row r="231" spans="1:21" ht="21" customHeight="1">
      <c r="A231" s="299"/>
      <c r="C231" s="994" t="s">
        <v>1099</v>
      </c>
      <c r="D231" s="329"/>
      <c r="E231" s="329"/>
      <c r="F231" s="329"/>
      <c r="G231" s="329"/>
      <c r="H231" s="329"/>
      <c r="I231" s="329"/>
      <c r="J231" s="329"/>
      <c r="K231" s="329"/>
      <c r="L231" s="329"/>
      <c r="M231" s="329"/>
      <c r="N231" s="329"/>
      <c r="O231" s="329"/>
      <c r="P231" s="433">
        <f>P232+P238+P243</f>
        <v>2187080</v>
      </c>
      <c r="Q231" s="341"/>
      <c r="R231" s="341"/>
      <c r="S231" s="305"/>
      <c r="U231" s="1173"/>
    </row>
    <row r="232" spans="1:21" ht="21" customHeight="1">
      <c r="A232" s="299"/>
      <c r="C232" s="1001" t="s">
        <v>1100</v>
      </c>
      <c r="D232" s="1002"/>
      <c r="E232" s="1002"/>
      <c r="F232" s="1002"/>
      <c r="G232" s="329"/>
      <c r="H232" s="329"/>
      <c r="I232" s="329"/>
      <c r="J232" s="329"/>
      <c r="K232" s="329"/>
      <c r="L232" s="329"/>
      <c r="M232" s="329"/>
      <c r="N232" s="329"/>
      <c r="O232" s="325"/>
      <c r="P232" s="175">
        <f>SUM(P233:P237)</f>
        <v>1806000</v>
      </c>
      <c r="Q232" s="996"/>
      <c r="R232" s="996"/>
      <c r="S232" s="305"/>
      <c r="U232" s="1173"/>
    </row>
    <row r="233" spans="1:21" ht="21" customHeight="1">
      <c r="A233" s="299"/>
      <c r="C233" s="345" t="s">
        <v>1101</v>
      </c>
      <c r="D233" s="329"/>
      <c r="E233" s="329"/>
      <c r="F233" s="329"/>
      <c r="G233" s="329"/>
      <c r="H233" s="329"/>
      <c r="I233" s="329"/>
      <c r="J233" s="329"/>
      <c r="K233" s="329"/>
      <c r="L233" s="325">
        <v>200</v>
      </c>
      <c r="M233" s="324" t="s">
        <v>19</v>
      </c>
      <c r="N233" s="325"/>
      <c r="O233" s="323">
        <v>70</v>
      </c>
      <c r="P233" s="335">
        <f>O233*L233</f>
        <v>14000</v>
      </c>
      <c r="Q233" s="991"/>
      <c r="R233" s="991"/>
      <c r="S233" s="305"/>
      <c r="U233" s="1173"/>
    </row>
    <row r="234" spans="1:21" ht="21" customHeight="1">
      <c r="A234" s="299"/>
      <c r="C234" s="300" t="s">
        <v>1102</v>
      </c>
      <c r="D234" s="329"/>
      <c r="E234" s="329"/>
      <c r="F234" s="329"/>
      <c r="G234" s="329"/>
      <c r="H234" s="329"/>
      <c r="I234" s="329"/>
      <c r="J234" s="329"/>
      <c r="K234" s="329"/>
      <c r="L234" s="325">
        <v>200</v>
      </c>
      <c r="M234" s="324" t="s">
        <v>33</v>
      </c>
      <c r="N234" s="325"/>
      <c r="O234" s="323">
        <v>1200</v>
      </c>
      <c r="P234" s="335">
        <f t="shared" ref="P234:P236" si="31">O234*L234</f>
        <v>240000</v>
      </c>
      <c r="Q234" s="331"/>
      <c r="R234" s="331"/>
      <c r="S234" s="305"/>
      <c r="U234" s="1173"/>
    </row>
    <row r="235" spans="1:21" ht="21" customHeight="1">
      <c r="A235" s="299"/>
      <c r="C235" s="300" t="s">
        <v>1103</v>
      </c>
      <c r="D235" s="329"/>
      <c r="E235" s="329"/>
      <c r="F235" s="329"/>
      <c r="G235" s="329"/>
      <c r="H235" s="329"/>
      <c r="I235" s="329"/>
      <c r="J235" s="329"/>
      <c r="K235" s="329"/>
      <c r="L235" s="325">
        <v>80</v>
      </c>
      <c r="M235" s="324" t="s">
        <v>1104</v>
      </c>
      <c r="N235" s="325"/>
      <c r="O235" s="323">
        <v>5000</v>
      </c>
      <c r="P235" s="335">
        <f t="shared" si="31"/>
        <v>400000</v>
      </c>
      <c r="Q235" s="331"/>
      <c r="R235" s="331"/>
      <c r="S235" s="305"/>
      <c r="U235" s="1173"/>
    </row>
    <row r="236" spans="1:21" ht="21" customHeight="1">
      <c r="A236" s="299"/>
      <c r="C236" s="300" t="s">
        <v>1105</v>
      </c>
      <c r="D236" s="329"/>
      <c r="E236" s="329"/>
      <c r="F236" s="329"/>
      <c r="G236" s="329"/>
      <c r="H236" s="329"/>
      <c r="I236" s="329"/>
      <c r="J236" s="329"/>
      <c r="K236" s="329"/>
      <c r="L236" s="325">
        <v>800</v>
      </c>
      <c r="M236" s="324" t="s">
        <v>17</v>
      </c>
      <c r="N236" s="325"/>
      <c r="O236" s="323">
        <v>240</v>
      </c>
      <c r="P236" s="335">
        <f t="shared" si="31"/>
        <v>192000</v>
      </c>
      <c r="Q236" s="331"/>
      <c r="R236" s="331"/>
      <c r="S236" s="305"/>
      <c r="U236" s="1173"/>
    </row>
    <row r="237" spans="1:21" ht="21" customHeight="1">
      <c r="A237" s="344"/>
      <c r="B237" s="1429"/>
      <c r="C237" s="300" t="s">
        <v>1106</v>
      </c>
      <c r="D237" s="329"/>
      <c r="E237" s="329"/>
      <c r="F237" s="329"/>
      <c r="G237" s="329"/>
      <c r="H237" s="329"/>
      <c r="I237" s="329"/>
      <c r="J237" s="329"/>
      <c r="K237" s="329"/>
      <c r="L237" s="325">
        <v>800</v>
      </c>
      <c r="M237" s="324" t="s">
        <v>17</v>
      </c>
      <c r="N237" s="325"/>
      <c r="O237" s="323">
        <v>1200</v>
      </c>
      <c r="P237" s="335">
        <f>O237*L237</f>
        <v>960000</v>
      </c>
      <c r="Q237" s="331"/>
      <c r="R237" s="331"/>
      <c r="S237" s="305"/>
      <c r="U237" s="1173"/>
    </row>
    <row r="238" spans="1:21" ht="21" customHeight="1">
      <c r="A238" s="299"/>
      <c r="C238" s="1004" t="s">
        <v>1107</v>
      </c>
      <c r="D238" s="329"/>
      <c r="E238" s="329"/>
      <c r="F238" s="329"/>
      <c r="G238" s="329"/>
      <c r="H238" s="329"/>
      <c r="I238" s="329"/>
      <c r="J238" s="329"/>
      <c r="K238" s="329"/>
      <c r="L238" s="329"/>
      <c r="M238" s="329"/>
      <c r="N238" s="329"/>
      <c r="O238" s="985"/>
      <c r="P238" s="175">
        <f>SUM(P239:P242)</f>
        <v>134000</v>
      </c>
      <c r="Q238" s="996"/>
      <c r="R238" s="996"/>
      <c r="S238" s="305"/>
      <c r="U238" s="1173"/>
    </row>
    <row r="239" spans="1:21" ht="33.75" customHeight="1">
      <c r="A239" s="299"/>
      <c r="C239" s="372" t="s">
        <v>1108</v>
      </c>
      <c r="D239" s="329"/>
      <c r="E239" s="329"/>
      <c r="F239" s="329"/>
      <c r="G239" s="329"/>
      <c r="H239" s="329"/>
      <c r="I239" s="329"/>
      <c r="J239" s="329"/>
      <c r="K239" s="329"/>
      <c r="L239" s="325">
        <v>100</v>
      </c>
      <c r="M239" s="324" t="s">
        <v>427</v>
      </c>
      <c r="N239" s="325"/>
      <c r="O239" s="323">
        <v>200</v>
      </c>
      <c r="P239" s="183">
        <f>O239*L239</f>
        <v>20000</v>
      </c>
      <c r="Q239" s="986"/>
      <c r="R239" s="986"/>
      <c r="S239" s="305"/>
      <c r="U239" s="1173"/>
    </row>
    <row r="240" spans="1:21" ht="21" customHeight="1">
      <c r="A240" s="299"/>
      <c r="C240" s="367" t="s">
        <v>1109</v>
      </c>
      <c r="D240" s="329"/>
      <c r="E240" s="329"/>
      <c r="F240" s="329"/>
      <c r="G240" s="329"/>
      <c r="H240" s="329"/>
      <c r="I240" s="329"/>
      <c r="J240" s="329"/>
      <c r="K240" s="329"/>
      <c r="L240" s="325">
        <v>20</v>
      </c>
      <c r="M240" s="324" t="s">
        <v>457</v>
      </c>
      <c r="N240" s="325"/>
      <c r="O240" s="323">
        <v>500</v>
      </c>
      <c r="P240" s="183">
        <f t="shared" ref="P240:P242" si="32">O240*L240</f>
        <v>10000</v>
      </c>
      <c r="Q240" s="986"/>
      <c r="R240" s="986"/>
      <c r="S240" s="305"/>
      <c r="U240" s="1173"/>
    </row>
    <row r="241" spans="1:21" ht="21" customHeight="1">
      <c r="A241" s="299"/>
      <c r="C241" s="367" t="s">
        <v>1110</v>
      </c>
      <c r="D241" s="329"/>
      <c r="E241" s="329"/>
      <c r="F241" s="329"/>
      <c r="G241" s="329"/>
      <c r="H241" s="329"/>
      <c r="I241" s="329"/>
      <c r="J241" s="329"/>
      <c r="K241" s="329"/>
      <c r="L241" s="325">
        <v>40</v>
      </c>
      <c r="M241" s="324" t="s">
        <v>457</v>
      </c>
      <c r="N241" s="325"/>
      <c r="O241" s="323">
        <v>600</v>
      </c>
      <c r="P241" s="183">
        <f t="shared" si="32"/>
        <v>24000</v>
      </c>
      <c r="Q241" s="986"/>
      <c r="R241" s="986"/>
      <c r="S241" s="305"/>
      <c r="U241" s="1173"/>
    </row>
    <row r="242" spans="1:21" ht="21" customHeight="1">
      <c r="A242" s="299"/>
      <c r="C242" s="367" t="s">
        <v>1111</v>
      </c>
      <c r="D242" s="329"/>
      <c r="E242" s="329"/>
      <c r="F242" s="329"/>
      <c r="G242" s="329"/>
      <c r="H242" s="329"/>
      <c r="I242" s="329"/>
      <c r="J242" s="329"/>
      <c r="K242" s="329"/>
      <c r="L242" s="325">
        <v>40</v>
      </c>
      <c r="M242" s="324" t="s">
        <v>457</v>
      </c>
      <c r="N242" s="325"/>
      <c r="O242" s="323">
        <v>2000</v>
      </c>
      <c r="P242" s="183">
        <f t="shared" si="32"/>
        <v>80000</v>
      </c>
      <c r="Q242" s="986"/>
      <c r="R242" s="986"/>
      <c r="S242" s="305"/>
      <c r="U242" s="1173"/>
    </row>
    <row r="243" spans="1:21" ht="21" customHeight="1">
      <c r="A243" s="299"/>
      <c r="C243" s="993" t="s">
        <v>1112</v>
      </c>
      <c r="D243" s="329"/>
      <c r="E243" s="329"/>
      <c r="F243" s="329"/>
      <c r="G243" s="329"/>
      <c r="H243" s="329"/>
      <c r="I243" s="329"/>
      <c r="J243" s="329"/>
      <c r="K243" s="329"/>
      <c r="L243" s="329"/>
      <c r="M243" s="329"/>
      <c r="N243" s="329"/>
      <c r="O243" s="985"/>
      <c r="P243" s="175">
        <f>SUM(P244:P246)</f>
        <v>247080</v>
      </c>
      <c r="Q243" s="341"/>
      <c r="R243" s="341"/>
      <c r="S243" s="305"/>
      <c r="U243" s="1173"/>
    </row>
    <row r="244" spans="1:21" ht="21" customHeight="1">
      <c r="A244" s="299"/>
      <c r="C244" s="267" t="s">
        <v>1030</v>
      </c>
      <c r="D244" s="329"/>
      <c r="E244" s="329"/>
      <c r="F244" s="329"/>
      <c r="G244" s="329"/>
      <c r="H244" s="329"/>
      <c r="I244" s="329"/>
      <c r="J244" s="329"/>
      <c r="K244" s="329"/>
      <c r="L244" s="325"/>
      <c r="M244" s="325"/>
      <c r="N244" s="325"/>
      <c r="O244" s="323">
        <v>120000</v>
      </c>
      <c r="P244" s="335">
        <f>O244</f>
        <v>120000</v>
      </c>
      <c r="Q244" s="331"/>
      <c r="R244" s="331"/>
      <c r="S244" s="305"/>
      <c r="U244" s="1173"/>
    </row>
    <row r="245" spans="1:21" ht="21" customHeight="1">
      <c r="A245" s="299"/>
      <c r="C245" s="267" t="s">
        <v>1075</v>
      </c>
      <c r="D245" s="329"/>
      <c r="E245" s="329"/>
      <c r="F245" s="329"/>
      <c r="G245" s="329"/>
      <c r="H245" s="329"/>
      <c r="I245" s="329"/>
      <c r="J245" s="329"/>
      <c r="K245" s="329"/>
      <c r="L245" s="325"/>
      <c r="M245" s="325"/>
      <c r="N245" s="325"/>
      <c r="O245" s="323">
        <v>100000</v>
      </c>
      <c r="P245" s="335">
        <f t="shared" ref="P245:P246" si="33">O245</f>
        <v>100000</v>
      </c>
      <c r="Q245" s="331"/>
      <c r="R245" s="331"/>
      <c r="S245" s="305"/>
      <c r="U245" s="1173"/>
    </row>
    <row r="246" spans="1:21" ht="21" customHeight="1">
      <c r="A246" s="344"/>
      <c r="B246" s="344"/>
      <c r="C246" s="267" t="s">
        <v>1076</v>
      </c>
      <c r="D246" s="329"/>
      <c r="E246" s="329"/>
      <c r="F246" s="329"/>
      <c r="G246" s="329"/>
      <c r="H246" s="329"/>
      <c r="I246" s="329"/>
      <c r="J246" s="329"/>
      <c r="K246" s="329"/>
      <c r="L246" s="325"/>
      <c r="M246" s="325"/>
      <c r="N246" s="325"/>
      <c r="O246" s="323">
        <v>27080</v>
      </c>
      <c r="P246" s="335">
        <f t="shared" si="33"/>
        <v>27080</v>
      </c>
      <c r="Q246" s="1006"/>
      <c r="R246" s="1006"/>
      <c r="S246" s="305"/>
      <c r="U246" s="1173"/>
    </row>
    <row r="247" spans="1:21">
      <c r="C247" s="346"/>
      <c r="D247" s="204"/>
      <c r="E247" s="204"/>
      <c r="F247" s="20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68"/>
      <c r="U247" s="1173"/>
    </row>
    <row r="248" spans="1:21">
      <c r="C248" s="347" t="s">
        <v>171</v>
      </c>
      <c r="D248" s="29" t="s">
        <v>172</v>
      </c>
      <c r="E248" s="29"/>
      <c r="F248" s="2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68"/>
    </row>
    <row r="249" spans="1:21">
      <c r="D249" s="286" t="s">
        <v>466</v>
      </c>
    </row>
  </sheetData>
  <mergeCells count="17">
    <mergeCell ref="M7:M8"/>
    <mergeCell ref="N7:N8"/>
    <mergeCell ref="O7:O8"/>
    <mergeCell ref="A1:S1"/>
    <mergeCell ref="A2:S2"/>
    <mergeCell ref="A6:B8"/>
    <mergeCell ref="C6:C8"/>
    <mergeCell ref="D6:E7"/>
    <mergeCell ref="F6:G7"/>
    <mergeCell ref="S6:S10"/>
    <mergeCell ref="P7:P8"/>
    <mergeCell ref="H6:R6"/>
    <mergeCell ref="Q7:Q8"/>
    <mergeCell ref="R7:R8"/>
    <mergeCell ref="H7:H8"/>
    <mergeCell ref="I7:K8"/>
    <mergeCell ref="L7:L8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447"/>
  <sheetViews>
    <sheetView topLeftCell="A7" zoomScale="120" zoomScaleNormal="120" zoomScaleSheetLayoutView="130" workbookViewId="0">
      <selection activeCell="S25" sqref="S25:S28"/>
    </sheetView>
  </sheetViews>
  <sheetFormatPr defaultRowHeight="18.75"/>
  <cols>
    <col min="1" max="1" width="4.5" style="286" customWidth="1"/>
    <col min="2" max="2" width="5" style="286" customWidth="1"/>
    <col min="3" max="3" width="30.375" style="1" customWidth="1"/>
    <col min="4" max="4" width="5.25" style="1" customWidth="1"/>
    <col min="5" max="5" width="6.125" style="1" customWidth="1"/>
    <col min="6" max="6" width="6" style="1" customWidth="1"/>
    <col min="7" max="7" width="6.875" style="1" customWidth="1"/>
    <col min="8" max="8" width="8.25" style="1" customWidth="1"/>
    <col min="9" max="9" width="4.25" style="1" customWidth="1"/>
    <col min="10" max="10" width="5" style="1" customWidth="1"/>
    <col min="11" max="11" width="4.125" style="1" customWidth="1"/>
    <col min="12" max="12" width="6" style="205" customWidth="1"/>
    <col min="13" max="13" width="7.125" style="205" customWidth="1"/>
    <col min="14" max="14" width="6.5" style="205" customWidth="1"/>
    <col min="15" max="15" width="8.25" style="1007" customWidth="1"/>
    <col min="16" max="16" width="10.375" style="30" customWidth="1"/>
    <col min="17" max="17" width="7.75" style="1116" customWidth="1"/>
    <col min="18" max="18" width="7.625" style="1116" customWidth="1"/>
    <col min="19" max="19" width="20.375" style="1" customWidth="1"/>
    <col min="20" max="259" width="9" style="1"/>
    <col min="260" max="260" width="30.375" style="1" customWidth="1"/>
    <col min="261" max="261" width="5.25" style="1" customWidth="1"/>
    <col min="262" max="262" width="6.125" style="1" customWidth="1"/>
    <col min="263" max="263" width="6" style="1" customWidth="1"/>
    <col min="264" max="264" width="6.875" style="1" customWidth="1"/>
    <col min="265" max="265" width="9.25" style="1" customWidth="1"/>
    <col min="266" max="266" width="4.25" style="1" customWidth="1"/>
    <col min="267" max="267" width="5" style="1" customWidth="1"/>
    <col min="268" max="268" width="4.125" style="1" customWidth="1"/>
    <col min="269" max="269" width="4.5" style="1" customWidth="1"/>
    <col min="270" max="270" width="4.75" style="1" customWidth="1"/>
    <col min="271" max="271" width="6.5" style="1" customWidth="1"/>
    <col min="272" max="272" width="11" style="1" customWidth="1"/>
    <col min="273" max="273" width="13.375" style="1" customWidth="1"/>
    <col min="274" max="274" width="26" style="1" customWidth="1"/>
    <col min="275" max="515" width="9" style="1"/>
    <col min="516" max="516" width="30.375" style="1" customWidth="1"/>
    <col min="517" max="517" width="5.25" style="1" customWidth="1"/>
    <col min="518" max="518" width="6.125" style="1" customWidth="1"/>
    <col min="519" max="519" width="6" style="1" customWidth="1"/>
    <col min="520" max="520" width="6.875" style="1" customWidth="1"/>
    <col min="521" max="521" width="9.25" style="1" customWidth="1"/>
    <col min="522" max="522" width="4.25" style="1" customWidth="1"/>
    <col min="523" max="523" width="5" style="1" customWidth="1"/>
    <col min="524" max="524" width="4.125" style="1" customWidth="1"/>
    <col min="525" max="525" width="4.5" style="1" customWidth="1"/>
    <col min="526" max="526" width="4.75" style="1" customWidth="1"/>
    <col min="527" max="527" width="6.5" style="1" customWidth="1"/>
    <col min="528" max="528" width="11" style="1" customWidth="1"/>
    <col min="529" max="529" width="13.375" style="1" customWidth="1"/>
    <col min="530" max="530" width="26" style="1" customWidth="1"/>
    <col min="531" max="771" width="9" style="1"/>
    <col min="772" max="772" width="30.375" style="1" customWidth="1"/>
    <col min="773" max="773" width="5.25" style="1" customWidth="1"/>
    <col min="774" max="774" width="6.125" style="1" customWidth="1"/>
    <col min="775" max="775" width="6" style="1" customWidth="1"/>
    <col min="776" max="776" width="6.875" style="1" customWidth="1"/>
    <col min="777" max="777" width="9.25" style="1" customWidth="1"/>
    <col min="778" max="778" width="4.25" style="1" customWidth="1"/>
    <col min="779" max="779" width="5" style="1" customWidth="1"/>
    <col min="780" max="780" width="4.125" style="1" customWidth="1"/>
    <col min="781" max="781" width="4.5" style="1" customWidth="1"/>
    <col min="782" max="782" width="4.75" style="1" customWidth="1"/>
    <col min="783" max="783" width="6.5" style="1" customWidth="1"/>
    <col min="784" max="784" width="11" style="1" customWidth="1"/>
    <col min="785" max="785" width="13.375" style="1" customWidth="1"/>
    <col min="786" max="786" width="26" style="1" customWidth="1"/>
    <col min="787" max="1027" width="9" style="1"/>
    <col min="1028" max="1028" width="30.375" style="1" customWidth="1"/>
    <col min="1029" max="1029" width="5.25" style="1" customWidth="1"/>
    <col min="1030" max="1030" width="6.125" style="1" customWidth="1"/>
    <col min="1031" max="1031" width="6" style="1" customWidth="1"/>
    <col min="1032" max="1032" width="6.875" style="1" customWidth="1"/>
    <col min="1033" max="1033" width="9.25" style="1" customWidth="1"/>
    <col min="1034" max="1034" width="4.25" style="1" customWidth="1"/>
    <col min="1035" max="1035" width="5" style="1" customWidth="1"/>
    <col min="1036" max="1036" width="4.125" style="1" customWidth="1"/>
    <col min="1037" max="1037" width="4.5" style="1" customWidth="1"/>
    <col min="1038" max="1038" width="4.75" style="1" customWidth="1"/>
    <col min="1039" max="1039" width="6.5" style="1" customWidth="1"/>
    <col min="1040" max="1040" width="11" style="1" customWidth="1"/>
    <col min="1041" max="1041" width="13.375" style="1" customWidth="1"/>
    <col min="1042" max="1042" width="26" style="1" customWidth="1"/>
    <col min="1043" max="1283" width="9" style="1"/>
    <col min="1284" max="1284" width="30.375" style="1" customWidth="1"/>
    <col min="1285" max="1285" width="5.25" style="1" customWidth="1"/>
    <col min="1286" max="1286" width="6.125" style="1" customWidth="1"/>
    <col min="1287" max="1287" width="6" style="1" customWidth="1"/>
    <col min="1288" max="1288" width="6.875" style="1" customWidth="1"/>
    <col min="1289" max="1289" width="9.25" style="1" customWidth="1"/>
    <col min="1290" max="1290" width="4.25" style="1" customWidth="1"/>
    <col min="1291" max="1291" width="5" style="1" customWidth="1"/>
    <col min="1292" max="1292" width="4.125" style="1" customWidth="1"/>
    <col min="1293" max="1293" width="4.5" style="1" customWidth="1"/>
    <col min="1294" max="1294" width="4.75" style="1" customWidth="1"/>
    <col min="1295" max="1295" width="6.5" style="1" customWidth="1"/>
    <col min="1296" max="1296" width="11" style="1" customWidth="1"/>
    <col min="1297" max="1297" width="13.375" style="1" customWidth="1"/>
    <col min="1298" max="1298" width="26" style="1" customWidth="1"/>
    <col min="1299" max="1539" width="9" style="1"/>
    <col min="1540" max="1540" width="30.375" style="1" customWidth="1"/>
    <col min="1541" max="1541" width="5.25" style="1" customWidth="1"/>
    <col min="1542" max="1542" width="6.125" style="1" customWidth="1"/>
    <col min="1543" max="1543" width="6" style="1" customWidth="1"/>
    <col min="1544" max="1544" width="6.875" style="1" customWidth="1"/>
    <col min="1545" max="1545" width="9.25" style="1" customWidth="1"/>
    <col min="1546" max="1546" width="4.25" style="1" customWidth="1"/>
    <col min="1547" max="1547" width="5" style="1" customWidth="1"/>
    <col min="1548" max="1548" width="4.125" style="1" customWidth="1"/>
    <col min="1549" max="1549" width="4.5" style="1" customWidth="1"/>
    <col min="1550" max="1550" width="4.75" style="1" customWidth="1"/>
    <col min="1551" max="1551" width="6.5" style="1" customWidth="1"/>
    <col min="1552" max="1552" width="11" style="1" customWidth="1"/>
    <col min="1553" max="1553" width="13.375" style="1" customWidth="1"/>
    <col min="1554" max="1554" width="26" style="1" customWidth="1"/>
    <col min="1555" max="1795" width="9" style="1"/>
    <col min="1796" max="1796" width="30.375" style="1" customWidth="1"/>
    <col min="1797" max="1797" width="5.25" style="1" customWidth="1"/>
    <col min="1798" max="1798" width="6.125" style="1" customWidth="1"/>
    <col min="1799" max="1799" width="6" style="1" customWidth="1"/>
    <col min="1800" max="1800" width="6.875" style="1" customWidth="1"/>
    <col min="1801" max="1801" width="9.25" style="1" customWidth="1"/>
    <col min="1802" max="1802" width="4.25" style="1" customWidth="1"/>
    <col min="1803" max="1803" width="5" style="1" customWidth="1"/>
    <col min="1804" max="1804" width="4.125" style="1" customWidth="1"/>
    <col min="1805" max="1805" width="4.5" style="1" customWidth="1"/>
    <col min="1806" max="1806" width="4.75" style="1" customWidth="1"/>
    <col min="1807" max="1807" width="6.5" style="1" customWidth="1"/>
    <col min="1808" max="1808" width="11" style="1" customWidth="1"/>
    <col min="1809" max="1809" width="13.375" style="1" customWidth="1"/>
    <col min="1810" max="1810" width="26" style="1" customWidth="1"/>
    <col min="1811" max="2051" width="9" style="1"/>
    <col min="2052" max="2052" width="30.375" style="1" customWidth="1"/>
    <col min="2053" max="2053" width="5.25" style="1" customWidth="1"/>
    <col min="2054" max="2054" width="6.125" style="1" customWidth="1"/>
    <col min="2055" max="2055" width="6" style="1" customWidth="1"/>
    <col min="2056" max="2056" width="6.875" style="1" customWidth="1"/>
    <col min="2057" max="2057" width="9.25" style="1" customWidth="1"/>
    <col min="2058" max="2058" width="4.25" style="1" customWidth="1"/>
    <col min="2059" max="2059" width="5" style="1" customWidth="1"/>
    <col min="2060" max="2060" width="4.125" style="1" customWidth="1"/>
    <col min="2061" max="2061" width="4.5" style="1" customWidth="1"/>
    <col min="2062" max="2062" width="4.75" style="1" customWidth="1"/>
    <col min="2063" max="2063" width="6.5" style="1" customWidth="1"/>
    <col min="2064" max="2064" width="11" style="1" customWidth="1"/>
    <col min="2065" max="2065" width="13.375" style="1" customWidth="1"/>
    <col min="2066" max="2066" width="26" style="1" customWidth="1"/>
    <col min="2067" max="2307" width="9" style="1"/>
    <col min="2308" max="2308" width="30.375" style="1" customWidth="1"/>
    <col min="2309" max="2309" width="5.25" style="1" customWidth="1"/>
    <col min="2310" max="2310" width="6.125" style="1" customWidth="1"/>
    <col min="2311" max="2311" width="6" style="1" customWidth="1"/>
    <col min="2312" max="2312" width="6.875" style="1" customWidth="1"/>
    <col min="2313" max="2313" width="9.25" style="1" customWidth="1"/>
    <col min="2314" max="2314" width="4.25" style="1" customWidth="1"/>
    <col min="2315" max="2315" width="5" style="1" customWidth="1"/>
    <col min="2316" max="2316" width="4.125" style="1" customWidth="1"/>
    <col min="2317" max="2317" width="4.5" style="1" customWidth="1"/>
    <col min="2318" max="2318" width="4.75" style="1" customWidth="1"/>
    <col min="2319" max="2319" width="6.5" style="1" customWidth="1"/>
    <col min="2320" max="2320" width="11" style="1" customWidth="1"/>
    <col min="2321" max="2321" width="13.375" style="1" customWidth="1"/>
    <col min="2322" max="2322" width="26" style="1" customWidth="1"/>
    <col min="2323" max="2563" width="9" style="1"/>
    <col min="2564" max="2564" width="30.375" style="1" customWidth="1"/>
    <col min="2565" max="2565" width="5.25" style="1" customWidth="1"/>
    <col min="2566" max="2566" width="6.125" style="1" customWidth="1"/>
    <col min="2567" max="2567" width="6" style="1" customWidth="1"/>
    <col min="2568" max="2568" width="6.875" style="1" customWidth="1"/>
    <col min="2569" max="2569" width="9.25" style="1" customWidth="1"/>
    <col min="2570" max="2570" width="4.25" style="1" customWidth="1"/>
    <col min="2571" max="2571" width="5" style="1" customWidth="1"/>
    <col min="2572" max="2572" width="4.125" style="1" customWidth="1"/>
    <col min="2573" max="2573" width="4.5" style="1" customWidth="1"/>
    <col min="2574" max="2574" width="4.75" style="1" customWidth="1"/>
    <col min="2575" max="2575" width="6.5" style="1" customWidth="1"/>
    <col min="2576" max="2576" width="11" style="1" customWidth="1"/>
    <col min="2577" max="2577" width="13.375" style="1" customWidth="1"/>
    <col min="2578" max="2578" width="26" style="1" customWidth="1"/>
    <col min="2579" max="2819" width="9" style="1"/>
    <col min="2820" max="2820" width="30.375" style="1" customWidth="1"/>
    <col min="2821" max="2821" width="5.25" style="1" customWidth="1"/>
    <col min="2822" max="2822" width="6.125" style="1" customWidth="1"/>
    <col min="2823" max="2823" width="6" style="1" customWidth="1"/>
    <col min="2824" max="2824" width="6.875" style="1" customWidth="1"/>
    <col min="2825" max="2825" width="9.25" style="1" customWidth="1"/>
    <col min="2826" max="2826" width="4.25" style="1" customWidth="1"/>
    <col min="2827" max="2827" width="5" style="1" customWidth="1"/>
    <col min="2828" max="2828" width="4.125" style="1" customWidth="1"/>
    <col min="2829" max="2829" width="4.5" style="1" customWidth="1"/>
    <col min="2830" max="2830" width="4.75" style="1" customWidth="1"/>
    <col min="2831" max="2831" width="6.5" style="1" customWidth="1"/>
    <col min="2832" max="2832" width="11" style="1" customWidth="1"/>
    <col min="2833" max="2833" width="13.375" style="1" customWidth="1"/>
    <col min="2834" max="2834" width="26" style="1" customWidth="1"/>
    <col min="2835" max="3075" width="9" style="1"/>
    <col min="3076" max="3076" width="30.375" style="1" customWidth="1"/>
    <col min="3077" max="3077" width="5.25" style="1" customWidth="1"/>
    <col min="3078" max="3078" width="6.125" style="1" customWidth="1"/>
    <col min="3079" max="3079" width="6" style="1" customWidth="1"/>
    <col min="3080" max="3080" width="6.875" style="1" customWidth="1"/>
    <col min="3081" max="3081" width="9.25" style="1" customWidth="1"/>
    <col min="3082" max="3082" width="4.25" style="1" customWidth="1"/>
    <col min="3083" max="3083" width="5" style="1" customWidth="1"/>
    <col min="3084" max="3084" width="4.125" style="1" customWidth="1"/>
    <col min="3085" max="3085" width="4.5" style="1" customWidth="1"/>
    <col min="3086" max="3086" width="4.75" style="1" customWidth="1"/>
    <col min="3087" max="3087" width="6.5" style="1" customWidth="1"/>
    <col min="3088" max="3088" width="11" style="1" customWidth="1"/>
    <col min="3089" max="3089" width="13.375" style="1" customWidth="1"/>
    <col min="3090" max="3090" width="26" style="1" customWidth="1"/>
    <col min="3091" max="3331" width="9" style="1"/>
    <col min="3332" max="3332" width="30.375" style="1" customWidth="1"/>
    <col min="3333" max="3333" width="5.25" style="1" customWidth="1"/>
    <col min="3334" max="3334" width="6.125" style="1" customWidth="1"/>
    <col min="3335" max="3335" width="6" style="1" customWidth="1"/>
    <col min="3336" max="3336" width="6.875" style="1" customWidth="1"/>
    <col min="3337" max="3337" width="9.25" style="1" customWidth="1"/>
    <col min="3338" max="3338" width="4.25" style="1" customWidth="1"/>
    <col min="3339" max="3339" width="5" style="1" customWidth="1"/>
    <col min="3340" max="3340" width="4.125" style="1" customWidth="1"/>
    <col min="3341" max="3341" width="4.5" style="1" customWidth="1"/>
    <col min="3342" max="3342" width="4.75" style="1" customWidth="1"/>
    <col min="3343" max="3343" width="6.5" style="1" customWidth="1"/>
    <col min="3344" max="3344" width="11" style="1" customWidth="1"/>
    <col min="3345" max="3345" width="13.375" style="1" customWidth="1"/>
    <col min="3346" max="3346" width="26" style="1" customWidth="1"/>
    <col min="3347" max="3587" width="9" style="1"/>
    <col min="3588" max="3588" width="30.375" style="1" customWidth="1"/>
    <col min="3589" max="3589" width="5.25" style="1" customWidth="1"/>
    <col min="3590" max="3590" width="6.125" style="1" customWidth="1"/>
    <col min="3591" max="3591" width="6" style="1" customWidth="1"/>
    <col min="3592" max="3592" width="6.875" style="1" customWidth="1"/>
    <col min="3593" max="3593" width="9.25" style="1" customWidth="1"/>
    <col min="3594" max="3594" width="4.25" style="1" customWidth="1"/>
    <col min="3595" max="3595" width="5" style="1" customWidth="1"/>
    <col min="3596" max="3596" width="4.125" style="1" customWidth="1"/>
    <col min="3597" max="3597" width="4.5" style="1" customWidth="1"/>
    <col min="3598" max="3598" width="4.75" style="1" customWidth="1"/>
    <col min="3599" max="3599" width="6.5" style="1" customWidth="1"/>
    <col min="3600" max="3600" width="11" style="1" customWidth="1"/>
    <col min="3601" max="3601" width="13.375" style="1" customWidth="1"/>
    <col min="3602" max="3602" width="26" style="1" customWidth="1"/>
    <col min="3603" max="3843" width="9" style="1"/>
    <col min="3844" max="3844" width="30.375" style="1" customWidth="1"/>
    <col min="3845" max="3845" width="5.25" style="1" customWidth="1"/>
    <col min="3846" max="3846" width="6.125" style="1" customWidth="1"/>
    <col min="3847" max="3847" width="6" style="1" customWidth="1"/>
    <col min="3848" max="3848" width="6.875" style="1" customWidth="1"/>
    <col min="3849" max="3849" width="9.25" style="1" customWidth="1"/>
    <col min="3850" max="3850" width="4.25" style="1" customWidth="1"/>
    <col min="3851" max="3851" width="5" style="1" customWidth="1"/>
    <col min="3852" max="3852" width="4.125" style="1" customWidth="1"/>
    <col min="3853" max="3853" width="4.5" style="1" customWidth="1"/>
    <col min="3854" max="3854" width="4.75" style="1" customWidth="1"/>
    <col min="3855" max="3855" width="6.5" style="1" customWidth="1"/>
    <col min="3856" max="3856" width="11" style="1" customWidth="1"/>
    <col min="3857" max="3857" width="13.375" style="1" customWidth="1"/>
    <col min="3858" max="3858" width="26" style="1" customWidth="1"/>
    <col min="3859" max="4099" width="9" style="1"/>
    <col min="4100" max="4100" width="30.375" style="1" customWidth="1"/>
    <col min="4101" max="4101" width="5.25" style="1" customWidth="1"/>
    <col min="4102" max="4102" width="6.125" style="1" customWidth="1"/>
    <col min="4103" max="4103" width="6" style="1" customWidth="1"/>
    <col min="4104" max="4104" width="6.875" style="1" customWidth="1"/>
    <col min="4105" max="4105" width="9.25" style="1" customWidth="1"/>
    <col min="4106" max="4106" width="4.25" style="1" customWidth="1"/>
    <col min="4107" max="4107" width="5" style="1" customWidth="1"/>
    <col min="4108" max="4108" width="4.125" style="1" customWidth="1"/>
    <col min="4109" max="4109" width="4.5" style="1" customWidth="1"/>
    <col min="4110" max="4110" width="4.75" style="1" customWidth="1"/>
    <col min="4111" max="4111" width="6.5" style="1" customWidth="1"/>
    <col min="4112" max="4112" width="11" style="1" customWidth="1"/>
    <col min="4113" max="4113" width="13.375" style="1" customWidth="1"/>
    <col min="4114" max="4114" width="26" style="1" customWidth="1"/>
    <col min="4115" max="4355" width="9" style="1"/>
    <col min="4356" max="4356" width="30.375" style="1" customWidth="1"/>
    <col min="4357" max="4357" width="5.25" style="1" customWidth="1"/>
    <col min="4358" max="4358" width="6.125" style="1" customWidth="1"/>
    <col min="4359" max="4359" width="6" style="1" customWidth="1"/>
    <col min="4360" max="4360" width="6.875" style="1" customWidth="1"/>
    <col min="4361" max="4361" width="9.25" style="1" customWidth="1"/>
    <col min="4362" max="4362" width="4.25" style="1" customWidth="1"/>
    <col min="4363" max="4363" width="5" style="1" customWidth="1"/>
    <col min="4364" max="4364" width="4.125" style="1" customWidth="1"/>
    <col min="4365" max="4365" width="4.5" style="1" customWidth="1"/>
    <col min="4366" max="4366" width="4.75" style="1" customWidth="1"/>
    <col min="4367" max="4367" width="6.5" style="1" customWidth="1"/>
    <col min="4368" max="4368" width="11" style="1" customWidth="1"/>
    <col min="4369" max="4369" width="13.375" style="1" customWidth="1"/>
    <col min="4370" max="4370" width="26" style="1" customWidth="1"/>
    <col min="4371" max="4611" width="9" style="1"/>
    <col min="4612" max="4612" width="30.375" style="1" customWidth="1"/>
    <col min="4613" max="4613" width="5.25" style="1" customWidth="1"/>
    <col min="4614" max="4614" width="6.125" style="1" customWidth="1"/>
    <col min="4615" max="4615" width="6" style="1" customWidth="1"/>
    <col min="4616" max="4616" width="6.875" style="1" customWidth="1"/>
    <col min="4617" max="4617" width="9.25" style="1" customWidth="1"/>
    <col min="4618" max="4618" width="4.25" style="1" customWidth="1"/>
    <col min="4619" max="4619" width="5" style="1" customWidth="1"/>
    <col min="4620" max="4620" width="4.125" style="1" customWidth="1"/>
    <col min="4621" max="4621" width="4.5" style="1" customWidth="1"/>
    <col min="4622" max="4622" width="4.75" style="1" customWidth="1"/>
    <col min="4623" max="4623" width="6.5" style="1" customWidth="1"/>
    <col min="4624" max="4624" width="11" style="1" customWidth="1"/>
    <col min="4625" max="4625" width="13.375" style="1" customWidth="1"/>
    <col min="4626" max="4626" width="26" style="1" customWidth="1"/>
    <col min="4627" max="4867" width="9" style="1"/>
    <col min="4868" max="4868" width="30.375" style="1" customWidth="1"/>
    <col min="4869" max="4869" width="5.25" style="1" customWidth="1"/>
    <col min="4870" max="4870" width="6.125" style="1" customWidth="1"/>
    <col min="4871" max="4871" width="6" style="1" customWidth="1"/>
    <col min="4872" max="4872" width="6.875" style="1" customWidth="1"/>
    <col min="4873" max="4873" width="9.25" style="1" customWidth="1"/>
    <col min="4874" max="4874" width="4.25" style="1" customWidth="1"/>
    <col min="4875" max="4875" width="5" style="1" customWidth="1"/>
    <col min="4876" max="4876" width="4.125" style="1" customWidth="1"/>
    <col min="4877" max="4877" width="4.5" style="1" customWidth="1"/>
    <col min="4878" max="4878" width="4.75" style="1" customWidth="1"/>
    <col min="4879" max="4879" width="6.5" style="1" customWidth="1"/>
    <col min="4880" max="4880" width="11" style="1" customWidth="1"/>
    <col min="4881" max="4881" width="13.375" style="1" customWidth="1"/>
    <col min="4882" max="4882" width="26" style="1" customWidth="1"/>
    <col min="4883" max="5123" width="9" style="1"/>
    <col min="5124" max="5124" width="30.375" style="1" customWidth="1"/>
    <col min="5125" max="5125" width="5.25" style="1" customWidth="1"/>
    <col min="5126" max="5126" width="6.125" style="1" customWidth="1"/>
    <col min="5127" max="5127" width="6" style="1" customWidth="1"/>
    <col min="5128" max="5128" width="6.875" style="1" customWidth="1"/>
    <col min="5129" max="5129" width="9.25" style="1" customWidth="1"/>
    <col min="5130" max="5130" width="4.25" style="1" customWidth="1"/>
    <col min="5131" max="5131" width="5" style="1" customWidth="1"/>
    <col min="5132" max="5132" width="4.125" style="1" customWidth="1"/>
    <col min="5133" max="5133" width="4.5" style="1" customWidth="1"/>
    <col min="5134" max="5134" width="4.75" style="1" customWidth="1"/>
    <col min="5135" max="5135" width="6.5" style="1" customWidth="1"/>
    <col min="5136" max="5136" width="11" style="1" customWidth="1"/>
    <col min="5137" max="5137" width="13.375" style="1" customWidth="1"/>
    <col min="5138" max="5138" width="26" style="1" customWidth="1"/>
    <col min="5139" max="5379" width="9" style="1"/>
    <col min="5380" max="5380" width="30.375" style="1" customWidth="1"/>
    <col min="5381" max="5381" width="5.25" style="1" customWidth="1"/>
    <col min="5382" max="5382" width="6.125" style="1" customWidth="1"/>
    <col min="5383" max="5383" width="6" style="1" customWidth="1"/>
    <col min="5384" max="5384" width="6.875" style="1" customWidth="1"/>
    <col min="5385" max="5385" width="9.25" style="1" customWidth="1"/>
    <col min="5386" max="5386" width="4.25" style="1" customWidth="1"/>
    <col min="5387" max="5387" width="5" style="1" customWidth="1"/>
    <col min="5388" max="5388" width="4.125" style="1" customWidth="1"/>
    <col min="5389" max="5389" width="4.5" style="1" customWidth="1"/>
    <col min="5390" max="5390" width="4.75" style="1" customWidth="1"/>
    <col min="5391" max="5391" width="6.5" style="1" customWidth="1"/>
    <col min="5392" max="5392" width="11" style="1" customWidth="1"/>
    <col min="5393" max="5393" width="13.375" style="1" customWidth="1"/>
    <col min="5394" max="5394" width="26" style="1" customWidth="1"/>
    <col min="5395" max="5635" width="9" style="1"/>
    <col min="5636" max="5636" width="30.375" style="1" customWidth="1"/>
    <col min="5637" max="5637" width="5.25" style="1" customWidth="1"/>
    <col min="5638" max="5638" width="6.125" style="1" customWidth="1"/>
    <col min="5639" max="5639" width="6" style="1" customWidth="1"/>
    <col min="5640" max="5640" width="6.875" style="1" customWidth="1"/>
    <col min="5641" max="5641" width="9.25" style="1" customWidth="1"/>
    <col min="5642" max="5642" width="4.25" style="1" customWidth="1"/>
    <col min="5643" max="5643" width="5" style="1" customWidth="1"/>
    <col min="5644" max="5644" width="4.125" style="1" customWidth="1"/>
    <col min="5645" max="5645" width="4.5" style="1" customWidth="1"/>
    <col min="5646" max="5646" width="4.75" style="1" customWidth="1"/>
    <col min="5647" max="5647" width="6.5" style="1" customWidth="1"/>
    <col min="5648" max="5648" width="11" style="1" customWidth="1"/>
    <col min="5649" max="5649" width="13.375" style="1" customWidth="1"/>
    <col min="5650" max="5650" width="26" style="1" customWidth="1"/>
    <col min="5651" max="5891" width="9" style="1"/>
    <col min="5892" max="5892" width="30.375" style="1" customWidth="1"/>
    <col min="5893" max="5893" width="5.25" style="1" customWidth="1"/>
    <col min="5894" max="5894" width="6.125" style="1" customWidth="1"/>
    <col min="5895" max="5895" width="6" style="1" customWidth="1"/>
    <col min="5896" max="5896" width="6.875" style="1" customWidth="1"/>
    <col min="5897" max="5897" width="9.25" style="1" customWidth="1"/>
    <col min="5898" max="5898" width="4.25" style="1" customWidth="1"/>
    <col min="5899" max="5899" width="5" style="1" customWidth="1"/>
    <col min="5900" max="5900" width="4.125" style="1" customWidth="1"/>
    <col min="5901" max="5901" width="4.5" style="1" customWidth="1"/>
    <col min="5902" max="5902" width="4.75" style="1" customWidth="1"/>
    <col min="5903" max="5903" width="6.5" style="1" customWidth="1"/>
    <col min="5904" max="5904" width="11" style="1" customWidth="1"/>
    <col min="5905" max="5905" width="13.375" style="1" customWidth="1"/>
    <col min="5906" max="5906" width="26" style="1" customWidth="1"/>
    <col min="5907" max="6147" width="9" style="1"/>
    <col min="6148" max="6148" width="30.375" style="1" customWidth="1"/>
    <col min="6149" max="6149" width="5.25" style="1" customWidth="1"/>
    <col min="6150" max="6150" width="6.125" style="1" customWidth="1"/>
    <col min="6151" max="6151" width="6" style="1" customWidth="1"/>
    <col min="6152" max="6152" width="6.875" style="1" customWidth="1"/>
    <col min="6153" max="6153" width="9.25" style="1" customWidth="1"/>
    <col min="6154" max="6154" width="4.25" style="1" customWidth="1"/>
    <col min="6155" max="6155" width="5" style="1" customWidth="1"/>
    <col min="6156" max="6156" width="4.125" style="1" customWidth="1"/>
    <col min="6157" max="6157" width="4.5" style="1" customWidth="1"/>
    <col min="6158" max="6158" width="4.75" style="1" customWidth="1"/>
    <col min="6159" max="6159" width="6.5" style="1" customWidth="1"/>
    <col min="6160" max="6160" width="11" style="1" customWidth="1"/>
    <col min="6161" max="6161" width="13.375" style="1" customWidth="1"/>
    <col min="6162" max="6162" width="26" style="1" customWidth="1"/>
    <col min="6163" max="6403" width="9" style="1"/>
    <col min="6404" max="6404" width="30.375" style="1" customWidth="1"/>
    <col min="6405" max="6405" width="5.25" style="1" customWidth="1"/>
    <col min="6406" max="6406" width="6.125" style="1" customWidth="1"/>
    <col min="6407" max="6407" width="6" style="1" customWidth="1"/>
    <col min="6408" max="6408" width="6.875" style="1" customWidth="1"/>
    <col min="6409" max="6409" width="9.25" style="1" customWidth="1"/>
    <col min="6410" max="6410" width="4.25" style="1" customWidth="1"/>
    <col min="6411" max="6411" width="5" style="1" customWidth="1"/>
    <col min="6412" max="6412" width="4.125" style="1" customWidth="1"/>
    <col min="6413" max="6413" width="4.5" style="1" customWidth="1"/>
    <col min="6414" max="6414" width="4.75" style="1" customWidth="1"/>
    <col min="6415" max="6415" width="6.5" style="1" customWidth="1"/>
    <col min="6416" max="6416" width="11" style="1" customWidth="1"/>
    <col min="6417" max="6417" width="13.375" style="1" customWidth="1"/>
    <col min="6418" max="6418" width="26" style="1" customWidth="1"/>
    <col min="6419" max="6659" width="9" style="1"/>
    <col min="6660" max="6660" width="30.375" style="1" customWidth="1"/>
    <col min="6661" max="6661" width="5.25" style="1" customWidth="1"/>
    <col min="6662" max="6662" width="6.125" style="1" customWidth="1"/>
    <col min="6663" max="6663" width="6" style="1" customWidth="1"/>
    <col min="6664" max="6664" width="6.875" style="1" customWidth="1"/>
    <col min="6665" max="6665" width="9.25" style="1" customWidth="1"/>
    <col min="6666" max="6666" width="4.25" style="1" customWidth="1"/>
    <col min="6667" max="6667" width="5" style="1" customWidth="1"/>
    <col min="6668" max="6668" width="4.125" style="1" customWidth="1"/>
    <col min="6669" max="6669" width="4.5" style="1" customWidth="1"/>
    <col min="6670" max="6670" width="4.75" style="1" customWidth="1"/>
    <col min="6671" max="6671" width="6.5" style="1" customWidth="1"/>
    <col min="6672" max="6672" width="11" style="1" customWidth="1"/>
    <col min="6673" max="6673" width="13.375" style="1" customWidth="1"/>
    <col min="6674" max="6674" width="26" style="1" customWidth="1"/>
    <col min="6675" max="6915" width="9" style="1"/>
    <col min="6916" max="6916" width="30.375" style="1" customWidth="1"/>
    <col min="6917" max="6917" width="5.25" style="1" customWidth="1"/>
    <col min="6918" max="6918" width="6.125" style="1" customWidth="1"/>
    <col min="6919" max="6919" width="6" style="1" customWidth="1"/>
    <col min="6920" max="6920" width="6.875" style="1" customWidth="1"/>
    <col min="6921" max="6921" width="9.25" style="1" customWidth="1"/>
    <col min="6922" max="6922" width="4.25" style="1" customWidth="1"/>
    <col min="6923" max="6923" width="5" style="1" customWidth="1"/>
    <col min="6924" max="6924" width="4.125" style="1" customWidth="1"/>
    <col min="6925" max="6925" width="4.5" style="1" customWidth="1"/>
    <col min="6926" max="6926" width="4.75" style="1" customWidth="1"/>
    <col min="6927" max="6927" width="6.5" style="1" customWidth="1"/>
    <col min="6928" max="6928" width="11" style="1" customWidth="1"/>
    <col min="6929" max="6929" width="13.375" style="1" customWidth="1"/>
    <col min="6930" max="6930" width="26" style="1" customWidth="1"/>
    <col min="6931" max="7171" width="9" style="1"/>
    <col min="7172" max="7172" width="30.375" style="1" customWidth="1"/>
    <col min="7173" max="7173" width="5.25" style="1" customWidth="1"/>
    <col min="7174" max="7174" width="6.125" style="1" customWidth="1"/>
    <col min="7175" max="7175" width="6" style="1" customWidth="1"/>
    <col min="7176" max="7176" width="6.875" style="1" customWidth="1"/>
    <col min="7177" max="7177" width="9.25" style="1" customWidth="1"/>
    <col min="7178" max="7178" width="4.25" style="1" customWidth="1"/>
    <col min="7179" max="7179" width="5" style="1" customWidth="1"/>
    <col min="7180" max="7180" width="4.125" style="1" customWidth="1"/>
    <col min="7181" max="7181" width="4.5" style="1" customWidth="1"/>
    <col min="7182" max="7182" width="4.75" style="1" customWidth="1"/>
    <col min="7183" max="7183" width="6.5" style="1" customWidth="1"/>
    <col min="7184" max="7184" width="11" style="1" customWidth="1"/>
    <col min="7185" max="7185" width="13.375" style="1" customWidth="1"/>
    <col min="7186" max="7186" width="26" style="1" customWidth="1"/>
    <col min="7187" max="7427" width="9" style="1"/>
    <col min="7428" max="7428" width="30.375" style="1" customWidth="1"/>
    <col min="7429" max="7429" width="5.25" style="1" customWidth="1"/>
    <col min="7430" max="7430" width="6.125" style="1" customWidth="1"/>
    <col min="7431" max="7431" width="6" style="1" customWidth="1"/>
    <col min="7432" max="7432" width="6.875" style="1" customWidth="1"/>
    <col min="7433" max="7433" width="9.25" style="1" customWidth="1"/>
    <col min="7434" max="7434" width="4.25" style="1" customWidth="1"/>
    <col min="7435" max="7435" width="5" style="1" customWidth="1"/>
    <col min="7436" max="7436" width="4.125" style="1" customWidth="1"/>
    <col min="7437" max="7437" width="4.5" style="1" customWidth="1"/>
    <col min="7438" max="7438" width="4.75" style="1" customWidth="1"/>
    <col min="7439" max="7439" width="6.5" style="1" customWidth="1"/>
    <col min="7440" max="7440" width="11" style="1" customWidth="1"/>
    <col min="7441" max="7441" width="13.375" style="1" customWidth="1"/>
    <col min="7442" max="7442" width="26" style="1" customWidth="1"/>
    <col min="7443" max="7683" width="9" style="1"/>
    <col min="7684" max="7684" width="30.375" style="1" customWidth="1"/>
    <col min="7685" max="7685" width="5.25" style="1" customWidth="1"/>
    <col min="7686" max="7686" width="6.125" style="1" customWidth="1"/>
    <col min="7687" max="7687" width="6" style="1" customWidth="1"/>
    <col min="7688" max="7688" width="6.875" style="1" customWidth="1"/>
    <col min="7689" max="7689" width="9.25" style="1" customWidth="1"/>
    <col min="7690" max="7690" width="4.25" style="1" customWidth="1"/>
    <col min="7691" max="7691" width="5" style="1" customWidth="1"/>
    <col min="7692" max="7692" width="4.125" style="1" customWidth="1"/>
    <col min="7693" max="7693" width="4.5" style="1" customWidth="1"/>
    <col min="7694" max="7694" width="4.75" style="1" customWidth="1"/>
    <col min="7695" max="7695" width="6.5" style="1" customWidth="1"/>
    <col min="7696" max="7696" width="11" style="1" customWidth="1"/>
    <col min="7697" max="7697" width="13.375" style="1" customWidth="1"/>
    <col min="7698" max="7698" width="26" style="1" customWidth="1"/>
    <col min="7699" max="7939" width="9" style="1"/>
    <col min="7940" max="7940" width="30.375" style="1" customWidth="1"/>
    <col min="7941" max="7941" width="5.25" style="1" customWidth="1"/>
    <col min="7942" max="7942" width="6.125" style="1" customWidth="1"/>
    <col min="7943" max="7943" width="6" style="1" customWidth="1"/>
    <col min="7944" max="7944" width="6.875" style="1" customWidth="1"/>
    <col min="7945" max="7945" width="9.25" style="1" customWidth="1"/>
    <col min="7946" max="7946" width="4.25" style="1" customWidth="1"/>
    <col min="7947" max="7947" width="5" style="1" customWidth="1"/>
    <col min="7948" max="7948" width="4.125" style="1" customWidth="1"/>
    <col min="7949" max="7949" width="4.5" style="1" customWidth="1"/>
    <col min="7950" max="7950" width="4.75" style="1" customWidth="1"/>
    <col min="7951" max="7951" width="6.5" style="1" customWidth="1"/>
    <col min="7952" max="7952" width="11" style="1" customWidth="1"/>
    <col min="7953" max="7953" width="13.375" style="1" customWidth="1"/>
    <col min="7954" max="7954" width="26" style="1" customWidth="1"/>
    <col min="7955" max="8195" width="9" style="1"/>
    <col min="8196" max="8196" width="30.375" style="1" customWidth="1"/>
    <col min="8197" max="8197" width="5.25" style="1" customWidth="1"/>
    <col min="8198" max="8198" width="6.125" style="1" customWidth="1"/>
    <col min="8199" max="8199" width="6" style="1" customWidth="1"/>
    <col min="8200" max="8200" width="6.875" style="1" customWidth="1"/>
    <col min="8201" max="8201" width="9.25" style="1" customWidth="1"/>
    <col min="8202" max="8202" width="4.25" style="1" customWidth="1"/>
    <col min="8203" max="8203" width="5" style="1" customWidth="1"/>
    <col min="8204" max="8204" width="4.125" style="1" customWidth="1"/>
    <col min="8205" max="8205" width="4.5" style="1" customWidth="1"/>
    <col min="8206" max="8206" width="4.75" style="1" customWidth="1"/>
    <col min="8207" max="8207" width="6.5" style="1" customWidth="1"/>
    <col min="8208" max="8208" width="11" style="1" customWidth="1"/>
    <col min="8209" max="8209" width="13.375" style="1" customWidth="1"/>
    <col min="8210" max="8210" width="26" style="1" customWidth="1"/>
    <col min="8211" max="8451" width="9" style="1"/>
    <col min="8452" max="8452" width="30.375" style="1" customWidth="1"/>
    <col min="8453" max="8453" width="5.25" style="1" customWidth="1"/>
    <col min="8454" max="8454" width="6.125" style="1" customWidth="1"/>
    <col min="8455" max="8455" width="6" style="1" customWidth="1"/>
    <col min="8456" max="8456" width="6.875" style="1" customWidth="1"/>
    <col min="8457" max="8457" width="9.25" style="1" customWidth="1"/>
    <col min="8458" max="8458" width="4.25" style="1" customWidth="1"/>
    <col min="8459" max="8459" width="5" style="1" customWidth="1"/>
    <col min="8460" max="8460" width="4.125" style="1" customWidth="1"/>
    <col min="8461" max="8461" width="4.5" style="1" customWidth="1"/>
    <col min="8462" max="8462" width="4.75" style="1" customWidth="1"/>
    <col min="8463" max="8463" width="6.5" style="1" customWidth="1"/>
    <col min="8464" max="8464" width="11" style="1" customWidth="1"/>
    <col min="8465" max="8465" width="13.375" style="1" customWidth="1"/>
    <col min="8466" max="8466" width="26" style="1" customWidth="1"/>
    <col min="8467" max="8707" width="9" style="1"/>
    <col min="8708" max="8708" width="30.375" style="1" customWidth="1"/>
    <col min="8709" max="8709" width="5.25" style="1" customWidth="1"/>
    <col min="8710" max="8710" width="6.125" style="1" customWidth="1"/>
    <col min="8711" max="8711" width="6" style="1" customWidth="1"/>
    <col min="8712" max="8712" width="6.875" style="1" customWidth="1"/>
    <col min="8713" max="8713" width="9.25" style="1" customWidth="1"/>
    <col min="8714" max="8714" width="4.25" style="1" customWidth="1"/>
    <col min="8715" max="8715" width="5" style="1" customWidth="1"/>
    <col min="8716" max="8716" width="4.125" style="1" customWidth="1"/>
    <col min="8717" max="8717" width="4.5" style="1" customWidth="1"/>
    <col min="8718" max="8718" width="4.75" style="1" customWidth="1"/>
    <col min="8719" max="8719" width="6.5" style="1" customWidth="1"/>
    <col min="8720" max="8720" width="11" style="1" customWidth="1"/>
    <col min="8721" max="8721" width="13.375" style="1" customWidth="1"/>
    <col min="8722" max="8722" width="26" style="1" customWidth="1"/>
    <col min="8723" max="8963" width="9" style="1"/>
    <col min="8964" max="8964" width="30.375" style="1" customWidth="1"/>
    <col min="8965" max="8965" width="5.25" style="1" customWidth="1"/>
    <col min="8966" max="8966" width="6.125" style="1" customWidth="1"/>
    <col min="8967" max="8967" width="6" style="1" customWidth="1"/>
    <col min="8968" max="8968" width="6.875" style="1" customWidth="1"/>
    <col min="8969" max="8969" width="9.25" style="1" customWidth="1"/>
    <col min="8970" max="8970" width="4.25" style="1" customWidth="1"/>
    <col min="8971" max="8971" width="5" style="1" customWidth="1"/>
    <col min="8972" max="8972" width="4.125" style="1" customWidth="1"/>
    <col min="8973" max="8973" width="4.5" style="1" customWidth="1"/>
    <col min="8974" max="8974" width="4.75" style="1" customWidth="1"/>
    <col min="8975" max="8975" width="6.5" style="1" customWidth="1"/>
    <col min="8976" max="8976" width="11" style="1" customWidth="1"/>
    <col min="8977" max="8977" width="13.375" style="1" customWidth="1"/>
    <col min="8978" max="8978" width="26" style="1" customWidth="1"/>
    <col min="8979" max="9219" width="9" style="1"/>
    <col min="9220" max="9220" width="30.375" style="1" customWidth="1"/>
    <col min="9221" max="9221" width="5.25" style="1" customWidth="1"/>
    <col min="9222" max="9222" width="6.125" style="1" customWidth="1"/>
    <col min="9223" max="9223" width="6" style="1" customWidth="1"/>
    <col min="9224" max="9224" width="6.875" style="1" customWidth="1"/>
    <col min="9225" max="9225" width="9.25" style="1" customWidth="1"/>
    <col min="9226" max="9226" width="4.25" style="1" customWidth="1"/>
    <col min="9227" max="9227" width="5" style="1" customWidth="1"/>
    <col min="9228" max="9228" width="4.125" style="1" customWidth="1"/>
    <col min="9229" max="9229" width="4.5" style="1" customWidth="1"/>
    <col min="9230" max="9230" width="4.75" style="1" customWidth="1"/>
    <col min="9231" max="9231" width="6.5" style="1" customWidth="1"/>
    <col min="9232" max="9232" width="11" style="1" customWidth="1"/>
    <col min="9233" max="9233" width="13.375" style="1" customWidth="1"/>
    <col min="9234" max="9234" width="26" style="1" customWidth="1"/>
    <col min="9235" max="9475" width="9" style="1"/>
    <col min="9476" max="9476" width="30.375" style="1" customWidth="1"/>
    <col min="9477" max="9477" width="5.25" style="1" customWidth="1"/>
    <col min="9478" max="9478" width="6.125" style="1" customWidth="1"/>
    <col min="9479" max="9479" width="6" style="1" customWidth="1"/>
    <col min="9480" max="9480" width="6.875" style="1" customWidth="1"/>
    <col min="9481" max="9481" width="9.25" style="1" customWidth="1"/>
    <col min="9482" max="9482" width="4.25" style="1" customWidth="1"/>
    <col min="9483" max="9483" width="5" style="1" customWidth="1"/>
    <col min="9484" max="9484" width="4.125" style="1" customWidth="1"/>
    <col min="9485" max="9485" width="4.5" style="1" customWidth="1"/>
    <col min="9486" max="9486" width="4.75" style="1" customWidth="1"/>
    <col min="9487" max="9487" width="6.5" style="1" customWidth="1"/>
    <col min="9488" max="9488" width="11" style="1" customWidth="1"/>
    <col min="9489" max="9489" width="13.375" style="1" customWidth="1"/>
    <col min="9490" max="9490" width="26" style="1" customWidth="1"/>
    <col min="9491" max="9731" width="9" style="1"/>
    <col min="9732" max="9732" width="30.375" style="1" customWidth="1"/>
    <col min="9733" max="9733" width="5.25" style="1" customWidth="1"/>
    <col min="9734" max="9734" width="6.125" style="1" customWidth="1"/>
    <col min="9735" max="9735" width="6" style="1" customWidth="1"/>
    <col min="9736" max="9736" width="6.875" style="1" customWidth="1"/>
    <col min="9737" max="9737" width="9.25" style="1" customWidth="1"/>
    <col min="9738" max="9738" width="4.25" style="1" customWidth="1"/>
    <col min="9739" max="9739" width="5" style="1" customWidth="1"/>
    <col min="9740" max="9740" width="4.125" style="1" customWidth="1"/>
    <col min="9741" max="9741" width="4.5" style="1" customWidth="1"/>
    <col min="9742" max="9742" width="4.75" style="1" customWidth="1"/>
    <col min="9743" max="9743" width="6.5" style="1" customWidth="1"/>
    <col min="9744" max="9744" width="11" style="1" customWidth="1"/>
    <col min="9745" max="9745" width="13.375" style="1" customWidth="1"/>
    <col min="9746" max="9746" width="26" style="1" customWidth="1"/>
    <col min="9747" max="9987" width="9" style="1"/>
    <col min="9988" max="9988" width="30.375" style="1" customWidth="1"/>
    <col min="9989" max="9989" width="5.25" style="1" customWidth="1"/>
    <col min="9990" max="9990" width="6.125" style="1" customWidth="1"/>
    <col min="9991" max="9991" width="6" style="1" customWidth="1"/>
    <col min="9992" max="9992" width="6.875" style="1" customWidth="1"/>
    <col min="9993" max="9993" width="9.25" style="1" customWidth="1"/>
    <col min="9994" max="9994" width="4.25" style="1" customWidth="1"/>
    <col min="9995" max="9995" width="5" style="1" customWidth="1"/>
    <col min="9996" max="9996" width="4.125" style="1" customWidth="1"/>
    <col min="9997" max="9997" width="4.5" style="1" customWidth="1"/>
    <col min="9998" max="9998" width="4.75" style="1" customWidth="1"/>
    <col min="9999" max="9999" width="6.5" style="1" customWidth="1"/>
    <col min="10000" max="10000" width="11" style="1" customWidth="1"/>
    <col min="10001" max="10001" width="13.375" style="1" customWidth="1"/>
    <col min="10002" max="10002" width="26" style="1" customWidth="1"/>
    <col min="10003" max="10243" width="9" style="1"/>
    <col min="10244" max="10244" width="30.375" style="1" customWidth="1"/>
    <col min="10245" max="10245" width="5.25" style="1" customWidth="1"/>
    <col min="10246" max="10246" width="6.125" style="1" customWidth="1"/>
    <col min="10247" max="10247" width="6" style="1" customWidth="1"/>
    <col min="10248" max="10248" width="6.875" style="1" customWidth="1"/>
    <col min="10249" max="10249" width="9.25" style="1" customWidth="1"/>
    <col min="10250" max="10250" width="4.25" style="1" customWidth="1"/>
    <col min="10251" max="10251" width="5" style="1" customWidth="1"/>
    <col min="10252" max="10252" width="4.125" style="1" customWidth="1"/>
    <col min="10253" max="10253" width="4.5" style="1" customWidth="1"/>
    <col min="10254" max="10254" width="4.75" style="1" customWidth="1"/>
    <col min="10255" max="10255" width="6.5" style="1" customWidth="1"/>
    <col min="10256" max="10256" width="11" style="1" customWidth="1"/>
    <col min="10257" max="10257" width="13.375" style="1" customWidth="1"/>
    <col min="10258" max="10258" width="26" style="1" customWidth="1"/>
    <col min="10259" max="10499" width="9" style="1"/>
    <col min="10500" max="10500" width="30.375" style="1" customWidth="1"/>
    <col min="10501" max="10501" width="5.25" style="1" customWidth="1"/>
    <col min="10502" max="10502" width="6.125" style="1" customWidth="1"/>
    <col min="10503" max="10503" width="6" style="1" customWidth="1"/>
    <col min="10504" max="10504" width="6.875" style="1" customWidth="1"/>
    <col min="10505" max="10505" width="9.25" style="1" customWidth="1"/>
    <col min="10506" max="10506" width="4.25" style="1" customWidth="1"/>
    <col min="10507" max="10507" width="5" style="1" customWidth="1"/>
    <col min="10508" max="10508" width="4.125" style="1" customWidth="1"/>
    <col min="10509" max="10509" width="4.5" style="1" customWidth="1"/>
    <col min="10510" max="10510" width="4.75" style="1" customWidth="1"/>
    <col min="10511" max="10511" width="6.5" style="1" customWidth="1"/>
    <col min="10512" max="10512" width="11" style="1" customWidth="1"/>
    <col min="10513" max="10513" width="13.375" style="1" customWidth="1"/>
    <col min="10514" max="10514" width="26" style="1" customWidth="1"/>
    <col min="10515" max="10755" width="9" style="1"/>
    <col min="10756" max="10756" width="30.375" style="1" customWidth="1"/>
    <col min="10757" max="10757" width="5.25" style="1" customWidth="1"/>
    <col min="10758" max="10758" width="6.125" style="1" customWidth="1"/>
    <col min="10759" max="10759" width="6" style="1" customWidth="1"/>
    <col min="10760" max="10760" width="6.875" style="1" customWidth="1"/>
    <col min="10761" max="10761" width="9.25" style="1" customWidth="1"/>
    <col min="10762" max="10762" width="4.25" style="1" customWidth="1"/>
    <col min="10763" max="10763" width="5" style="1" customWidth="1"/>
    <col min="10764" max="10764" width="4.125" style="1" customWidth="1"/>
    <col min="10765" max="10765" width="4.5" style="1" customWidth="1"/>
    <col min="10766" max="10766" width="4.75" style="1" customWidth="1"/>
    <col min="10767" max="10767" width="6.5" style="1" customWidth="1"/>
    <col min="10768" max="10768" width="11" style="1" customWidth="1"/>
    <col min="10769" max="10769" width="13.375" style="1" customWidth="1"/>
    <col min="10770" max="10770" width="26" style="1" customWidth="1"/>
    <col min="10771" max="11011" width="9" style="1"/>
    <col min="11012" max="11012" width="30.375" style="1" customWidth="1"/>
    <col min="11013" max="11013" width="5.25" style="1" customWidth="1"/>
    <col min="11014" max="11014" width="6.125" style="1" customWidth="1"/>
    <col min="11015" max="11015" width="6" style="1" customWidth="1"/>
    <col min="11016" max="11016" width="6.875" style="1" customWidth="1"/>
    <col min="11017" max="11017" width="9.25" style="1" customWidth="1"/>
    <col min="11018" max="11018" width="4.25" style="1" customWidth="1"/>
    <col min="11019" max="11019" width="5" style="1" customWidth="1"/>
    <col min="11020" max="11020" width="4.125" style="1" customWidth="1"/>
    <col min="11021" max="11021" width="4.5" style="1" customWidth="1"/>
    <col min="11022" max="11022" width="4.75" style="1" customWidth="1"/>
    <col min="11023" max="11023" width="6.5" style="1" customWidth="1"/>
    <col min="11024" max="11024" width="11" style="1" customWidth="1"/>
    <col min="11025" max="11025" width="13.375" style="1" customWidth="1"/>
    <col min="11026" max="11026" width="26" style="1" customWidth="1"/>
    <col min="11027" max="11267" width="9" style="1"/>
    <col min="11268" max="11268" width="30.375" style="1" customWidth="1"/>
    <col min="11269" max="11269" width="5.25" style="1" customWidth="1"/>
    <col min="11270" max="11270" width="6.125" style="1" customWidth="1"/>
    <col min="11271" max="11271" width="6" style="1" customWidth="1"/>
    <col min="11272" max="11272" width="6.875" style="1" customWidth="1"/>
    <col min="11273" max="11273" width="9.25" style="1" customWidth="1"/>
    <col min="11274" max="11274" width="4.25" style="1" customWidth="1"/>
    <col min="11275" max="11275" width="5" style="1" customWidth="1"/>
    <col min="11276" max="11276" width="4.125" style="1" customWidth="1"/>
    <col min="11277" max="11277" width="4.5" style="1" customWidth="1"/>
    <col min="11278" max="11278" width="4.75" style="1" customWidth="1"/>
    <col min="11279" max="11279" width="6.5" style="1" customWidth="1"/>
    <col min="11280" max="11280" width="11" style="1" customWidth="1"/>
    <col min="11281" max="11281" width="13.375" style="1" customWidth="1"/>
    <col min="11282" max="11282" width="26" style="1" customWidth="1"/>
    <col min="11283" max="11523" width="9" style="1"/>
    <col min="11524" max="11524" width="30.375" style="1" customWidth="1"/>
    <col min="11525" max="11525" width="5.25" style="1" customWidth="1"/>
    <col min="11526" max="11526" width="6.125" style="1" customWidth="1"/>
    <col min="11527" max="11527" width="6" style="1" customWidth="1"/>
    <col min="11528" max="11528" width="6.875" style="1" customWidth="1"/>
    <col min="11529" max="11529" width="9.25" style="1" customWidth="1"/>
    <col min="11530" max="11530" width="4.25" style="1" customWidth="1"/>
    <col min="11531" max="11531" width="5" style="1" customWidth="1"/>
    <col min="11532" max="11532" width="4.125" style="1" customWidth="1"/>
    <col min="11533" max="11533" width="4.5" style="1" customWidth="1"/>
    <col min="11534" max="11534" width="4.75" style="1" customWidth="1"/>
    <col min="11535" max="11535" width="6.5" style="1" customWidth="1"/>
    <col min="11536" max="11536" width="11" style="1" customWidth="1"/>
    <col min="11537" max="11537" width="13.375" style="1" customWidth="1"/>
    <col min="11538" max="11538" width="26" style="1" customWidth="1"/>
    <col min="11539" max="11779" width="9" style="1"/>
    <col min="11780" max="11780" width="30.375" style="1" customWidth="1"/>
    <col min="11781" max="11781" width="5.25" style="1" customWidth="1"/>
    <col min="11782" max="11782" width="6.125" style="1" customWidth="1"/>
    <col min="11783" max="11783" width="6" style="1" customWidth="1"/>
    <col min="11784" max="11784" width="6.875" style="1" customWidth="1"/>
    <col min="11785" max="11785" width="9.25" style="1" customWidth="1"/>
    <col min="11786" max="11786" width="4.25" style="1" customWidth="1"/>
    <col min="11787" max="11787" width="5" style="1" customWidth="1"/>
    <col min="11788" max="11788" width="4.125" style="1" customWidth="1"/>
    <col min="11789" max="11789" width="4.5" style="1" customWidth="1"/>
    <col min="11790" max="11790" width="4.75" style="1" customWidth="1"/>
    <col min="11791" max="11791" width="6.5" style="1" customWidth="1"/>
    <col min="11792" max="11792" width="11" style="1" customWidth="1"/>
    <col min="11793" max="11793" width="13.375" style="1" customWidth="1"/>
    <col min="11794" max="11794" width="26" style="1" customWidth="1"/>
    <col min="11795" max="12035" width="9" style="1"/>
    <col min="12036" max="12036" width="30.375" style="1" customWidth="1"/>
    <col min="12037" max="12037" width="5.25" style="1" customWidth="1"/>
    <col min="12038" max="12038" width="6.125" style="1" customWidth="1"/>
    <col min="12039" max="12039" width="6" style="1" customWidth="1"/>
    <col min="12040" max="12040" width="6.875" style="1" customWidth="1"/>
    <col min="12041" max="12041" width="9.25" style="1" customWidth="1"/>
    <col min="12042" max="12042" width="4.25" style="1" customWidth="1"/>
    <col min="12043" max="12043" width="5" style="1" customWidth="1"/>
    <col min="12044" max="12044" width="4.125" style="1" customWidth="1"/>
    <col min="12045" max="12045" width="4.5" style="1" customWidth="1"/>
    <col min="12046" max="12046" width="4.75" style="1" customWidth="1"/>
    <col min="12047" max="12047" width="6.5" style="1" customWidth="1"/>
    <col min="12048" max="12048" width="11" style="1" customWidth="1"/>
    <col min="12049" max="12049" width="13.375" style="1" customWidth="1"/>
    <col min="12050" max="12050" width="26" style="1" customWidth="1"/>
    <col min="12051" max="12291" width="9" style="1"/>
    <col min="12292" max="12292" width="30.375" style="1" customWidth="1"/>
    <col min="12293" max="12293" width="5.25" style="1" customWidth="1"/>
    <col min="12294" max="12294" width="6.125" style="1" customWidth="1"/>
    <col min="12295" max="12295" width="6" style="1" customWidth="1"/>
    <col min="12296" max="12296" width="6.875" style="1" customWidth="1"/>
    <col min="12297" max="12297" width="9.25" style="1" customWidth="1"/>
    <col min="12298" max="12298" width="4.25" style="1" customWidth="1"/>
    <col min="12299" max="12299" width="5" style="1" customWidth="1"/>
    <col min="12300" max="12300" width="4.125" style="1" customWidth="1"/>
    <col min="12301" max="12301" width="4.5" style="1" customWidth="1"/>
    <col min="12302" max="12302" width="4.75" style="1" customWidth="1"/>
    <col min="12303" max="12303" width="6.5" style="1" customWidth="1"/>
    <col min="12304" max="12304" width="11" style="1" customWidth="1"/>
    <col min="12305" max="12305" width="13.375" style="1" customWidth="1"/>
    <col min="12306" max="12306" width="26" style="1" customWidth="1"/>
    <col min="12307" max="12547" width="9" style="1"/>
    <col min="12548" max="12548" width="30.375" style="1" customWidth="1"/>
    <col min="12549" max="12549" width="5.25" style="1" customWidth="1"/>
    <col min="12550" max="12550" width="6.125" style="1" customWidth="1"/>
    <col min="12551" max="12551" width="6" style="1" customWidth="1"/>
    <col min="12552" max="12552" width="6.875" style="1" customWidth="1"/>
    <col min="12553" max="12553" width="9.25" style="1" customWidth="1"/>
    <col min="12554" max="12554" width="4.25" style="1" customWidth="1"/>
    <col min="12555" max="12555" width="5" style="1" customWidth="1"/>
    <col min="12556" max="12556" width="4.125" style="1" customWidth="1"/>
    <col min="12557" max="12557" width="4.5" style="1" customWidth="1"/>
    <col min="12558" max="12558" width="4.75" style="1" customWidth="1"/>
    <col min="12559" max="12559" width="6.5" style="1" customWidth="1"/>
    <col min="12560" max="12560" width="11" style="1" customWidth="1"/>
    <col min="12561" max="12561" width="13.375" style="1" customWidth="1"/>
    <col min="12562" max="12562" width="26" style="1" customWidth="1"/>
    <col min="12563" max="12803" width="9" style="1"/>
    <col min="12804" max="12804" width="30.375" style="1" customWidth="1"/>
    <col min="12805" max="12805" width="5.25" style="1" customWidth="1"/>
    <col min="12806" max="12806" width="6.125" style="1" customWidth="1"/>
    <col min="12807" max="12807" width="6" style="1" customWidth="1"/>
    <col min="12808" max="12808" width="6.875" style="1" customWidth="1"/>
    <col min="12809" max="12809" width="9.25" style="1" customWidth="1"/>
    <col min="12810" max="12810" width="4.25" style="1" customWidth="1"/>
    <col min="12811" max="12811" width="5" style="1" customWidth="1"/>
    <col min="12812" max="12812" width="4.125" style="1" customWidth="1"/>
    <col min="12813" max="12813" width="4.5" style="1" customWidth="1"/>
    <col min="12814" max="12814" width="4.75" style="1" customWidth="1"/>
    <col min="12815" max="12815" width="6.5" style="1" customWidth="1"/>
    <col min="12816" max="12816" width="11" style="1" customWidth="1"/>
    <col min="12817" max="12817" width="13.375" style="1" customWidth="1"/>
    <col min="12818" max="12818" width="26" style="1" customWidth="1"/>
    <col min="12819" max="13059" width="9" style="1"/>
    <col min="13060" max="13060" width="30.375" style="1" customWidth="1"/>
    <col min="13061" max="13061" width="5.25" style="1" customWidth="1"/>
    <col min="13062" max="13062" width="6.125" style="1" customWidth="1"/>
    <col min="13063" max="13063" width="6" style="1" customWidth="1"/>
    <col min="13064" max="13064" width="6.875" style="1" customWidth="1"/>
    <col min="13065" max="13065" width="9.25" style="1" customWidth="1"/>
    <col min="13066" max="13066" width="4.25" style="1" customWidth="1"/>
    <col min="13067" max="13067" width="5" style="1" customWidth="1"/>
    <col min="13068" max="13068" width="4.125" style="1" customWidth="1"/>
    <col min="13069" max="13069" width="4.5" style="1" customWidth="1"/>
    <col min="13070" max="13070" width="4.75" style="1" customWidth="1"/>
    <col min="13071" max="13071" width="6.5" style="1" customWidth="1"/>
    <col min="13072" max="13072" width="11" style="1" customWidth="1"/>
    <col min="13073" max="13073" width="13.375" style="1" customWidth="1"/>
    <col min="13074" max="13074" width="26" style="1" customWidth="1"/>
    <col min="13075" max="13315" width="9" style="1"/>
    <col min="13316" max="13316" width="30.375" style="1" customWidth="1"/>
    <col min="13317" max="13317" width="5.25" style="1" customWidth="1"/>
    <col min="13318" max="13318" width="6.125" style="1" customWidth="1"/>
    <col min="13319" max="13319" width="6" style="1" customWidth="1"/>
    <col min="13320" max="13320" width="6.875" style="1" customWidth="1"/>
    <col min="13321" max="13321" width="9.25" style="1" customWidth="1"/>
    <col min="13322" max="13322" width="4.25" style="1" customWidth="1"/>
    <col min="13323" max="13323" width="5" style="1" customWidth="1"/>
    <col min="13324" max="13324" width="4.125" style="1" customWidth="1"/>
    <col min="13325" max="13325" width="4.5" style="1" customWidth="1"/>
    <col min="13326" max="13326" width="4.75" style="1" customWidth="1"/>
    <col min="13327" max="13327" width="6.5" style="1" customWidth="1"/>
    <col min="13328" max="13328" width="11" style="1" customWidth="1"/>
    <col min="13329" max="13329" width="13.375" style="1" customWidth="1"/>
    <col min="13330" max="13330" width="26" style="1" customWidth="1"/>
    <col min="13331" max="13571" width="9" style="1"/>
    <col min="13572" max="13572" width="30.375" style="1" customWidth="1"/>
    <col min="13573" max="13573" width="5.25" style="1" customWidth="1"/>
    <col min="13574" max="13574" width="6.125" style="1" customWidth="1"/>
    <col min="13575" max="13575" width="6" style="1" customWidth="1"/>
    <col min="13576" max="13576" width="6.875" style="1" customWidth="1"/>
    <col min="13577" max="13577" width="9.25" style="1" customWidth="1"/>
    <col min="13578" max="13578" width="4.25" style="1" customWidth="1"/>
    <col min="13579" max="13579" width="5" style="1" customWidth="1"/>
    <col min="13580" max="13580" width="4.125" style="1" customWidth="1"/>
    <col min="13581" max="13581" width="4.5" style="1" customWidth="1"/>
    <col min="13582" max="13582" width="4.75" style="1" customWidth="1"/>
    <col min="13583" max="13583" width="6.5" style="1" customWidth="1"/>
    <col min="13584" max="13584" width="11" style="1" customWidth="1"/>
    <col min="13585" max="13585" width="13.375" style="1" customWidth="1"/>
    <col min="13586" max="13586" width="26" style="1" customWidth="1"/>
    <col min="13587" max="13827" width="9" style="1"/>
    <col min="13828" max="13828" width="30.375" style="1" customWidth="1"/>
    <col min="13829" max="13829" width="5.25" style="1" customWidth="1"/>
    <col min="13830" max="13830" width="6.125" style="1" customWidth="1"/>
    <col min="13831" max="13831" width="6" style="1" customWidth="1"/>
    <col min="13832" max="13832" width="6.875" style="1" customWidth="1"/>
    <col min="13833" max="13833" width="9.25" style="1" customWidth="1"/>
    <col min="13834" max="13834" width="4.25" style="1" customWidth="1"/>
    <col min="13835" max="13835" width="5" style="1" customWidth="1"/>
    <col min="13836" max="13836" width="4.125" style="1" customWidth="1"/>
    <col min="13837" max="13837" width="4.5" style="1" customWidth="1"/>
    <col min="13838" max="13838" width="4.75" style="1" customWidth="1"/>
    <col min="13839" max="13839" width="6.5" style="1" customWidth="1"/>
    <col min="13840" max="13840" width="11" style="1" customWidth="1"/>
    <col min="13841" max="13841" width="13.375" style="1" customWidth="1"/>
    <col min="13842" max="13842" width="26" style="1" customWidth="1"/>
    <col min="13843" max="14083" width="9" style="1"/>
    <col min="14084" max="14084" width="30.375" style="1" customWidth="1"/>
    <col min="14085" max="14085" width="5.25" style="1" customWidth="1"/>
    <col min="14086" max="14086" width="6.125" style="1" customWidth="1"/>
    <col min="14087" max="14087" width="6" style="1" customWidth="1"/>
    <col min="14088" max="14088" width="6.875" style="1" customWidth="1"/>
    <col min="14089" max="14089" width="9.25" style="1" customWidth="1"/>
    <col min="14090" max="14090" width="4.25" style="1" customWidth="1"/>
    <col min="14091" max="14091" width="5" style="1" customWidth="1"/>
    <col min="14092" max="14092" width="4.125" style="1" customWidth="1"/>
    <col min="14093" max="14093" width="4.5" style="1" customWidth="1"/>
    <col min="14094" max="14094" width="4.75" style="1" customWidth="1"/>
    <col min="14095" max="14095" width="6.5" style="1" customWidth="1"/>
    <col min="14096" max="14096" width="11" style="1" customWidth="1"/>
    <col min="14097" max="14097" width="13.375" style="1" customWidth="1"/>
    <col min="14098" max="14098" width="26" style="1" customWidth="1"/>
    <col min="14099" max="14339" width="9" style="1"/>
    <col min="14340" max="14340" width="30.375" style="1" customWidth="1"/>
    <col min="14341" max="14341" width="5.25" style="1" customWidth="1"/>
    <col min="14342" max="14342" width="6.125" style="1" customWidth="1"/>
    <col min="14343" max="14343" width="6" style="1" customWidth="1"/>
    <col min="14344" max="14344" width="6.875" style="1" customWidth="1"/>
    <col min="14345" max="14345" width="9.25" style="1" customWidth="1"/>
    <col min="14346" max="14346" width="4.25" style="1" customWidth="1"/>
    <col min="14347" max="14347" width="5" style="1" customWidth="1"/>
    <col min="14348" max="14348" width="4.125" style="1" customWidth="1"/>
    <col min="14349" max="14349" width="4.5" style="1" customWidth="1"/>
    <col min="14350" max="14350" width="4.75" style="1" customWidth="1"/>
    <col min="14351" max="14351" width="6.5" style="1" customWidth="1"/>
    <col min="14352" max="14352" width="11" style="1" customWidth="1"/>
    <col min="14353" max="14353" width="13.375" style="1" customWidth="1"/>
    <col min="14354" max="14354" width="26" style="1" customWidth="1"/>
    <col min="14355" max="14595" width="9" style="1"/>
    <col min="14596" max="14596" width="30.375" style="1" customWidth="1"/>
    <col min="14597" max="14597" width="5.25" style="1" customWidth="1"/>
    <col min="14598" max="14598" width="6.125" style="1" customWidth="1"/>
    <col min="14599" max="14599" width="6" style="1" customWidth="1"/>
    <col min="14600" max="14600" width="6.875" style="1" customWidth="1"/>
    <col min="14601" max="14601" width="9.25" style="1" customWidth="1"/>
    <col min="14602" max="14602" width="4.25" style="1" customWidth="1"/>
    <col min="14603" max="14603" width="5" style="1" customWidth="1"/>
    <col min="14604" max="14604" width="4.125" style="1" customWidth="1"/>
    <col min="14605" max="14605" width="4.5" style="1" customWidth="1"/>
    <col min="14606" max="14606" width="4.75" style="1" customWidth="1"/>
    <col min="14607" max="14607" width="6.5" style="1" customWidth="1"/>
    <col min="14608" max="14608" width="11" style="1" customWidth="1"/>
    <col min="14609" max="14609" width="13.375" style="1" customWidth="1"/>
    <col min="14610" max="14610" width="26" style="1" customWidth="1"/>
    <col min="14611" max="14851" width="9" style="1"/>
    <col min="14852" max="14852" width="30.375" style="1" customWidth="1"/>
    <col min="14853" max="14853" width="5.25" style="1" customWidth="1"/>
    <col min="14854" max="14854" width="6.125" style="1" customWidth="1"/>
    <col min="14855" max="14855" width="6" style="1" customWidth="1"/>
    <col min="14856" max="14856" width="6.875" style="1" customWidth="1"/>
    <col min="14857" max="14857" width="9.25" style="1" customWidth="1"/>
    <col min="14858" max="14858" width="4.25" style="1" customWidth="1"/>
    <col min="14859" max="14859" width="5" style="1" customWidth="1"/>
    <col min="14860" max="14860" width="4.125" style="1" customWidth="1"/>
    <col min="14861" max="14861" width="4.5" style="1" customWidth="1"/>
    <col min="14862" max="14862" width="4.75" style="1" customWidth="1"/>
    <col min="14863" max="14863" width="6.5" style="1" customWidth="1"/>
    <col min="14864" max="14864" width="11" style="1" customWidth="1"/>
    <col min="14865" max="14865" width="13.375" style="1" customWidth="1"/>
    <col min="14866" max="14866" width="26" style="1" customWidth="1"/>
    <col min="14867" max="15107" width="9" style="1"/>
    <col min="15108" max="15108" width="30.375" style="1" customWidth="1"/>
    <col min="15109" max="15109" width="5.25" style="1" customWidth="1"/>
    <col min="15110" max="15110" width="6.125" style="1" customWidth="1"/>
    <col min="15111" max="15111" width="6" style="1" customWidth="1"/>
    <col min="15112" max="15112" width="6.875" style="1" customWidth="1"/>
    <col min="15113" max="15113" width="9.25" style="1" customWidth="1"/>
    <col min="15114" max="15114" width="4.25" style="1" customWidth="1"/>
    <col min="15115" max="15115" width="5" style="1" customWidth="1"/>
    <col min="15116" max="15116" width="4.125" style="1" customWidth="1"/>
    <col min="15117" max="15117" width="4.5" style="1" customWidth="1"/>
    <col min="15118" max="15118" width="4.75" style="1" customWidth="1"/>
    <col min="15119" max="15119" width="6.5" style="1" customWidth="1"/>
    <col min="15120" max="15120" width="11" style="1" customWidth="1"/>
    <col min="15121" max="15121" width="13.375" style="1" customWidth="1"/>
    <col min="15122" max="15122" width="26" style="1" customWidth="1"/>
    <col min="15123" max="15363" width="9" style="1"/>
    <col min="15364" max="15364" width="30.375" style="1" customWidth="1"/>
    <col min="15365" max="15365" width="5.25" style="1" customWidth="1"/>
    <col min="15366" max="15366" width="6.125" style="1" customWidth="1"/>
    <col min="15367" max="15367" width="6" style="1" customWidth="1"/>
    <col min="15368" max="15368" width="6.875" style="1" customWidth="1"/>
    <col min="15369" max="15369" width="9.25" style="1" customWidth="1"/>
    <col min="15370" max="15370" width="4.25" style="1" customWidth="1"/>
    <col min="15371" max="15371" width="5" style="1" customWidth="1"/>
    <col min="15372" max="15372" width="4.125" style="1" customWidth="1"/>
    <col min="15373" max="15373" width="4.5" style="1" customWidth="1"/>
    <col min="15374" max="15374" width="4.75" style="1" customWidth="1"/>
    <col min="15375" max="15375" width="6.5" style="1" customWidth="1"/>
    <col min="15376" max="15376" width="11" style="1" customWidth="1"/>
    <col min="15377" max="15377" width="13.375" style="1" customWidth="1"/>
    <col min="15378" max="15378" width="26" style="1" customWidth="1"/>
    <col min="15379" max="15619" width="9" style="1"/>
    <col min="15620" max="15620" width="30.375" style="1" customWidth="1"/>
    <col min="15621" max="15621" width="5.25" style="1" customWidth="1"/>
    <col min="15622" max="15622" width="6.125" style="1" customWidth="1"/>
    <col min="15623" max="15623" width="6" style="1" customWidth="1"/>
    <col min="15624" max="15624" width="6.875" style="1" customWidth="1"/>
    <col min="15625" max="15625" width="9.25" style="1" customWidth="1"/>
    <col min="15626" max="15626" width="4.25" style="1" customWidth="1"/>
    <col min="15627" max="15627" width="5" style="1" customWidth="1"/>
    <col min="15628" max="15628" width="4.125" style="1" customWidth="1"/>
    <col min="15629" max="15629" width="4.5" style="1" customWidth="1"/>
    <col min="15630" max="15630" width="4.75" style="1" customWidth="1"/>
    <col min="15631" max="15631" width="6.5" style="1" customWidth="1"/>
    <col min="15632" max="15632" width="11" style="1" customWidth="1"/>
    <col min="15633" max="15633" width="13.375" style="1" customWidth="1"/>
    <col min="15634" max="15634" width="26" style="1" customWidth="1"/>
    <col min="15635" max="15875" width="9" style="1"/>
    <col min="15876" max="15876" width="30.375" style="1" customWidth="1"/>
    <col min="15877" max="15877" width="5.25" style="1" customWidth="1"/>
    <col min="15878" max="15878" width="6.125" style="1" customWidth="1"/>
    <col min="15879" max="15879" width="6" style="1" customWidth="1"/>
    <col min="15880" max="15880" width="6.875" style="1" customWidth="1"/>
    <col min="15881" max="15881" width="9.25" style="1" customWidth="1"/>
    <col min="15882" max="15882" width="4.25" style="1" customWidth="1"/>
    <col min="15883" max="15883" width="5" style="1" customWidth="1"/>
    <col min="15884" max="15884" width="4.125" style="1" customWidth="1"/>
    <col min="15885" max="15885" width="4.5" style="1" customWidth="1"/>
    <col min="15886" max="15886" width="4.75" style="1" customWidth="1"/>
    <col min="15887" max="15887" width="6.5" style="1" customWidth="1"/>
    <col min="15888" max="15888" width="11" style="1" customWidth="1"/>
    <col min="15889" max="15889" width="13.375" style="1" customWidth="1"/>
    <col min="15890" max="15890" width="26" style="1" customWidth="1"/>
    <col min="15891" max="16131" width="9" style="1"/>
    <col min="16132" max="16132" width="30.375" style="1" customWidth="1"/>
    <col min="16133" max="16133" width="5.25" style="1" customWidth="1"/>
    <col min="16134" max="16134" width="6.125" style="1" customWidth="1"/>
    <col min="16135" max="16135" width="6" style="1" customWidth="1"/>
    <col min="16136" max="16136" width="6.875" style="1" customWidth="1"/>
    <col min="16137" max="16137" width="9.25" style="1" customWidth="1"/>
    <col min="16138" max="16138" width="4.25" style="1" customWidth="1"/>
    <col min="16139" max="16139" width="5" style="1" customWidth="1"/>
    <col min="16140" max="16140" width="4.125" style="1" customWidth="1"/>
    <col min="16141" max="16141" width="4.5" style="1" customWidth="1"/>
    <col min="16142" max="16142" width="4.75" style="1" customWidth="1"/>
    <col min="16143" max="16143" width="6.5" style="1" customWidth="1"/>
    <col min="16144" max="16144" width="11" style="1" customWidth="1"/>
    <col min="16145" max="16145" width="13.375" style="1" customWidth="1"/>
    <col min="16146" max="16146" width="26" style="1" customWidth="1"/>
    <col min="16147" max="16384" width="9" style="1"/>
  </cols>
  <sheetData>
    <row r="1" spans="1:22" ht="12.75" customHeight="1">
      <c r="Q1" s="30"/>
      <c r="R1" s="30"/>
    </row>
    <row r="2" spans="1:22" ht="24.75">
      <c r="A2" s="1772" t="s">
        <v>1561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  <c r="R2" s="1772"/>
      <c r="S2" s="1772"/>
    </row>
    <row r="3" spans="1:22" ht="20.25" customHeight="1">
      <c r="A3" s="1570" t="s">
        <v>85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  <c r="T3" s="157"/>
      <c r="U3" s="157"/>
      <c r="V3" s="157"/>
    </row>
    <row r="4" spans="1:22" s="39" customFormat="1" ht="21.75">
      <c r="A4" s="287" t="s">
        <v>0</v>
      </c>
      <c r="B4" s="287"/>
      <c r="C4" s="40"/>
      <c r="D4" s="40"/>
      <c r="E4" s="40"/>
      <c r="F4" s="40"/>
      <c r="L4" s="80"/>
      <c r="M4" s="80"/>
      <c r="N4" s="80"/>
      <c r="O4" s="1008"/>
      <c r="P4" s="1009"/>
      <c r="Q4" s="290"/>
      <c r="R4" s="290"/>
    </row>
    <row r="5" spans="1:22" s="39" customFormat="1" ht="21.75">
      <c r="A5" s="287" t="s">
        <v>1</v>
      </c>
      <c r="B5" s="287"/>
      <c r="C5" s="40"/>
      <c r="L5" s="80"/>
      <c r="M5" s="80"/>
      <c r="N5" s="80"/>
      <c r="O5" s="1008"/>
      <c r="P5" s="1009"/>
      <c r="Q5" s="290"/>
      <c r="R5" s="290"/>
    </row>
    <row r="6" spans="1:22" ht="21.75">
      <c r="Q6" s="290"/>
      <c r="R6" s="290"/>
      <c r="S6" s="83" t="s">
        <v>254</v>
      </c>
    </row>
    <row r="7" spans="1:22" s="451" customFormat="1" ht="17.25" customHeight="1">
      <c r="A7" s="1587" t="s">
        <v>87</v>
      </c>
      <c r="B7" s="1588"/>
      <c r="C7" s="1577" t="s">
        <v>88</v>
      </c>
      <c r="D7" s="1612" t="s">
        <v>15</v>
      </c>
      <c r="E7" s="1613"/>
      <c r="F7" s="1612" t="s">
        <v>28</v>
      </c>
      <c r="G7" s="1613"/>
      <c r="H7" s="1616" t="s">
        <v>63</v>
      </c>
      <c r="I7" s="1616"/>
      <c r="J7" s="1616"/>
      <c r="K7" s="1616"/>
      <c r="L7" s="1616"/>
      <c r="M7" s="1616"/>
      <c r="N7" s="1616"/>
      <c r="O7" s="1616"/>
      <c r="P7" s="1616"/>
      <c r="Q7" s="1616"/>
      <c r="R7" s="1616"/>
      <c r="S7" s="1577" t="s">
        <v>91</v>
      </c>
    </row>
    <row r="8" spans="1:22" s="451" customFormat="1" ht="10.5" customHeight="1">
      <c r="A8" s="1753"/>
      <c r="B8" s="1754"/>
      <c r="C8" s="1583"/>
      <c r="D8" s="1614"/>
      <c r="E8" s="1615"/>
      <c r="F8" s="1614"/>
      <c r="G8" s="1615"/>
      <c r="H8" s="1619" t="s">
        <v>76</v>
      </c>
      <c r="I8" s="1619" t="s">
        <v>77</v>
      </c>
      <c r="J8" s="1619"/>
      <c r="K8" s="1619"/>
      <c r="L8" s="1779" t="s">
        <v>175</v>
      </c>
      <c r="M8" s="1779" t="s">
        <v>92</v>
      </c>
      <c r="N8" s="1779" t="s">
        <v>93</v>
      </c>
      <c r="O8" s="1781" t="s">
        <v>94</v>
      </c>
      <c r="P8" s="1783" t="s">
        <v>718</v>
      </c>
      <c r="Q8" s="1619" t="s">
        <v>89</v>
      </c>
      <c r="R8" s="1619" t="s">
        <v>90</v>
      </c>
      <c r="S8" s="1583"/>
    </row>
    <row r="9" spans="1:22" s="451" customFormat="1" ht="15.75" customHeight="1">
      <c r="A9" s="1753"/>
      <c r="B9" s="1754"/>
      <c r="C9" s="1583"/>
      <c r="D9" s="88" t="s">
        <v>4</v>
      </c>
      <c r="E9" s="88" t="s">
        <v>5</v>
      </c>
      <c r="F9" s="88" t="s">
        <v>4</v>
      </c>
      <c r="G9" s="88" t="s">
        <v>6</v>
      </c>
      <c r="H9" s="1619"/>
      <c r="I9" s="1619"/>
      <c r="J9" s="1619"/>
      <c r="K9" s="1619"/>
      <c r="L9" s="1779" t="s">
        <v>95</v>
      </c>
      <c r="M9" s="1779"/>
      <c r="N9" s="1779"/>
      <c r="O9" s="1781"/>
      <c r="P9" s="1783"/>
      <c r="Q9" s="1619"/>
      <c r="R9" s="1619"/>
      <c r="S9" s="1583"/>
    </row>
    <row r="10" spans="1:22" s="451" customFormat="1" ht="7.5" hidden="1" customHeight="1">
      <c r="A10" s="1589"/>
      <c r="B10" s="1590"/>
      <c r="C10" s="1583"/>
      <c r="D10" s="88"/>
      <c r="E10" s="88"/>
      <c r="F10" s="88"/>
      <c r="G10" s="88"/>
      <c r="H10" s="1619"/>
      <c r="I10" s="1619"/>
      <c r="J10" s="1619"/>
      <c r="K10" s="1619"/>
      <c r="L10" s="1779" t="s">
        <v>255</v>
      </c>
      <c r="M10" s="1779"/>
      <c r="N10" s="1779"/>
      <c r="O10" s="1781"/>
      <c r="P10" s="1783"/>
      <c r="Q10" s="1619"/>
      <c r="R10" s="1619"/>
      <c r="S10" s="1583"/>
    </row>
    <row r="11" spans="1:22" s="451" customFormat="1" ht="34.5" customHeight="1">
      <c r="A11" s="86" t="s">
        <v>96</v>
      </c>
      <c r="B11" s="86" t="s">
        <v>97</v>
      </c>
      <c r="C11" s="1578"/>
      <c r="D11" s="203"/>
      <c r="E11" s="203"/>
      <c r="F11" s="203"/>
      <c r="G11" s="446"/>
      <c r="H11" s="1619"/>
      <c r="I11" s="449" t="s">
        <v>78</v>
      </c>
      <c r="J11" s="449" t="s">
        <v>79</v>
      </c>
      <c r="K11" s="449" t="s">
        <v>80</v>
      </c>
      <c r="L11" s="1780" t="s">
        <v>719</v>
      </c>
      <c r="M11" s="1780"/>
      <c r="N11" s="1780"/>
      <c r="O11" s="1782"/>
      <c r="P11" s="1582"/>
      <c r="Q11" s="1619"/>
      <c r="R11" s="1619"/>
      <c r="S11" s="1578"/>
    </row>
    <row r="12" spans="1:22" s="383" customFormat="1" ht="16.5" thickBot="1">
      <c r="A12" s="93"/>
      <c r="B12" s="93"/>
      <c r="C12" s="94" t="s">
        <v>11</v>
      </c>
      <c r="D12" s="93"/>
      <c r="E12" s="93"/>
      <c r="F12" s="93"/>
      <c r="G12" s="380"/>
      <c r="H12" s="380"/>
      <c r="I12" s="380"/>
      <c r="J12" s="380"/>
      <c r="K12" s="380"/>
      <c r="L12" s="93"/>
      <c r="M12" s="93"/>
      <c r="N12" s="93"/>
      <c r="O12" s="1010"/>
      <c r="P12" s="1011">
        <f>P18</f>
        <v>88000000</v>
      </c>
      <c r="Q12" s="97"/>
      <c r="R12" s="97"/>
      <c r="S12" s="380"/>
      <c r="U12" s="1529"/>
    </row>
    <row r="13" spans="1:22" s="507" customFormat="1" ht="24" customHeight="1" thickTop="1">
      <c r="A13" s="502"/>
      <c r="B13" s="502"/>
      <c r="C13" s="971" t="s">
        <v>817</v>
      </c>
      <c r="D13" s="504"/>
      <c r="E13" s="504"/>
      <c r="F13" s="504"/>
      <c r="G13" s="502"/>
      <c r="H13" s="502"/>
      <c r="I13" s="502"/>
      <c r="J13" s="502"/>
      <c r="K13" s="502"/>
      <c r="L13" s="504"/>
      <c r="M13" s="502"/>
      <c r="N13" s="504"/>
      <c r="O13" s="502"/>
      <c r="P13" s="972"/>
      <c r="Q13" s="505"/>
      <c r="R13" s="1070"/>
      <c r="S13" s="505"/>
      <c r="T13" s="973"/>
    </row>
    <row r="14" spans="1:22" s="515" customFormat="1" ht="23.25" customHeight="1">
      <c r="A14" s="508"/>
      <c r="B14" s="508"/>
      <c r="C14" s="974" t="s">
        <v>1722</v>
      </c>
      <c r="D14" s="510"/>
      <c r="E14" s="510"/>
      <c r="F14" s="510"/>
      <c r="G14" s="510"/>
      <c r="H14" s="510"/>
      <c r="I14" s="510"/>
      <c r="J14" s="510"/>
      <c r="K14" s="510"/>
      <c r="L14" s="511"/>
      <c r="M14" s="512"/>
      <c r="N14" s="511"/>
      <c r="O14" s="512"/>
      <c r="P14" s="975"/>
      <c r="Q14" s="514"/>
      <c r="R14" s="510"/>
      <c r="S14" s="514"/>
      <c r="T14" s="976"/>
    </row>
    <row r="15" spans="1:22" s="608" customFormat="1" ht="18.75" customHeight="1">
      <c r="A15" s="607"/>
      <c r="B15" s="607"/>
      <c r="C15" s="1129" t="s">
        <v>875</v>
      </c>
      <c r="D15" s="594"/>
      <c r="E15" s="594"/>
      <c r="F15" s="594"/>
      <c r="G15" s="594"/>
      <c r="H15" s="594"/>
      <c r="I15" s="594"/>
      <c r="J15" s="594"/>
      <c r="K15" s="594"/>
      <c r="L15" s="604"/>
      <c r="M15" s="604"/>
      <c r="N15" s="604"/>
      <c r="O15" s="604"/>
      <c r="P15" s="978"/>
      <c r="Q15" s="594"/>
      <c r="R15" s="1069"/>
      <c r="S15" s="514"/>
      <c r="T15" s="941"/>
    </row>
    <row r="16" spans="1:22" s="608" customFormat="1" ht="20.25" customHeight="1">
      <c r="A16" s="607"/>
      <c r="B16" s="607"/>
      <c r="C16" s="1130" t="s">
        <v>1509</v>
      </c>
      <c r="D16" s="594"/>
      <c r="E16" s="594"/>
      <c r="F16" s="594"/>
      <c r="G16" s="594"/>
      <c r="H16" s="594"/>
      <c r="I16" s="594"/>
      <c r="J16" s="594"/>
      <c r="K16" s="594"/>
      <c r="L16" s="604"/>
      <c r="M16" s="604"/>
      <c r="N16" s="604"/>
      <c r="O16" s="604"/>
      <c r="P16" s="939"/>
      <c r="Q16" s="940"/>
      <c r="R16" s="1069"/>
      <c r="S16" s="313" t="s">
        <v>178</v>
      </c>
      <c r="T16" s="941"/>
    </row>
    <row r="17" spans="1:19" ht="19.5" customHeight="1">
      <c r="A17" s="302"/>
      <c r="B17" s="302"/>
      <c r="C17" s="1131" t="s">
        <v>1617</v>
      </c>
      <c r="D17" s="72"/>
      <c r="E17" s="72"/>
      <c r="F17" s="72"/>
      <c r="G17" s="72"/>
      <c r="H17" s="72"/>
      <c r="I17" s="72"/>
      <c r="J17" s="72"/>
      <c r="K17" s="72"/>
      <c r="L17" s="74"/>
      <c r="M17" s="74"/>
      <c r="N17" s="74"/>
      <c r="O17" s="1012"/>
      <c r="P17" s="188"/>
      <c r="Q17" s="1115"/>
      <c r="R17" s="1115"/>
      <c r="S17" s="1596" t="s">
        <v>1625</v>
      </c>
    </row>
    <row r="18" spans="1:19" ht="17.25" customHeight="1">
      <c r="A18" s="299"/>
      <c r="B18" s="299"/>
      <c r="C18" s="1132" t="s">
        <v>12</v>
      </c>
      <c r="D18" s="115"/>
      <c r="E18" s="115"/>
      <c r="F18" s="115"/>
      <c r="G18" s="72"/>
      <c r="H18" s="72"/>
      <c r="I18" s="72"/>
      <c r="J18" s="72"/>
      <c r="K18" s="72"/>
      <c r="L18" s="74"/>
      <c r="M18" s="74"/>
      <c r="N18" s="74"/>
      <c r="O18" s="1012"/>
      <c r="P18" s="1014">
        <f>SUM(P19+P46+P52+P104+P230+P269+P312+P335+P395)</f>
        <v>88000000</v>
      </c>
      <c r="Q18" s="1115"/>
      <c r="R18" s="1115"/>
      <c r="S18" s="1597"/>
    </row>
    <row r="19" spans="1:19" ht="17.25" customHeight="1">
      <c r="A19" s="299"/>
      <c r="B19" s="299"/>
      <c r="C19" s="1133" t="s">
        <v>101</v>
      </c>
      <c r="D19" s="72"/>
      <c r="E19" s="72"/>
      <c r="F19" s="72"/>
      <c r="G19" s="72"/>
      <c r="H19" s="72"/>
      <c r="I19" s="72"/>
      <c r="J19" s="72"/>
      <c r="K19" s="72"/>
      <c r="L19" s="74"/>
      <c r="M19" s="74"/>
      <c r="N19" s="74"/>
      <c r="O19" s="1012"/>
      <c r="P19" s="1014">
        <f>SUM(P20:P45)</f>
        <v>45225000</v>
      </c>
      <c r="Q19" s="312"/>
      <c r="R19" s="312"/>
      <c r="S19" s="1597"/>
    </row>
    <row r="20" spans="1:19" ht="17.25" customHeight="1">
      <c r="A20" s="299"/>
      <c r="B20" s="299"/>
      <c r="C20" s="1123" t="s">
        <v>890</v>
      </c>
      <c r="D20" s="72"/>
      <c r="E20" s="72"/>
      <c r="F20" s="72"/>
      <c r="G20" s="72"/>
      <c r="H20" s="74" t="s">
        <v>81</v>
      </c>
      <c r="I20" s="72"/>
      <c r="J20" s="1015" t="s">
        <v>104</v>
      </c>
      <c r="K20" s="72"/>
      <c r="L20" s="74">
        <v>7</v>
      </c>
      <c r="M20" s="74">
        <v>10</v>
      </c>
      <c r="N20" s="74">
        <v>8</v>
      </c>
      <c r="O20" s="1012">
        <v>90000</v>
      </c>
      <c r="P20" s="187">
        <f>L20*N20*O20</f>
        <v>5040000</v>
      </c>
      <c r="Q20" s="356"/>
      <c r="R20" s="356"/>
      <c r="S20" s="1597"/>
    </row>
    <row r="21" spans="1:19" ht="17.25" customHeight="1">
      <c r="A21" s="299"/>
      <c r="B21" s="299"/>
      <c r="C21" s="1123" t="s">
        <v>1113</v>
      </c>
      <c r="D21" s="72"/>
      <c r="E21" s="72"/>
      <c r="F21" s="72"/>
      <c r="G21" s="72"/>
      <c r="H21" s="74" t="s">
        <v>81</v>
      </c>
      <c r="I21" s="72"/>
      <c r="J21" s="1015" t="s">
        <v>104</v>
      </c>
      <c r="K21" s="72"/>
      <c r="L21" s="74">
        <v>2</v>
      </c>
      <c r="M21" s="74">
        <v>10</v>
      </c>
      <c r="N21" s="74">
        <v>7</v>
      </c>
      <c r="O21" s="1012">
        <v>65000</v>
      </c>
      <c r="P21" s="187">
        <f>L21*N21*O21</f>
        <v>910000</v>
      </c>
      <c r="Q21" s="356"/>
      <c r="R21" s="356"/>
      <c r="S21" s="1597"/>
    </row>
    <row r="22" spans="1:19" ht="17.25" customHeight="1">
      <c r="A22" s="299"/>
      <c r="B22" s="299"/>
      <c r="C22" s="1123" t="s">
        <v>1114</v>
      </c>
      <c r="D22" s="72"/>
      <c r="E22" s="72"/>
      <c r="F22" s="72"/>
      <c r="G22" s="72"/>
      <c r="H22" s="74" t="s">
        <v>81</v>
      </c>
      <c r="I22" s="1015" t="s">
        <v>104</v>
      </c>
      <c r="J22" s="72"/>
      <c r="K22" s="72"/>
      <c r="L22" s="74">
        <v>3</v>
      </c>
      <c r="M22" s="74">
        <v>12</v>
      </c>
      <c r="N22" s="74">
        <v>7</v>
      </c>
      <c r="O22" s="1012">
        <v>60000</v>
      </c>
      <c r="P22" s="187">
        <f>L22*N22*O22</f>
        <v>1260000</v>
      </c>
      <c r="Q22" s="356"/>
      <c r="R22" s="356"/>
      <c r="S22" s="1597"/>
    </row>
    <row r="23" spans="1:19" ht="17.25" customHeight="1">
      <c r="A23" s="299"/>
      <c r="B23" s="299"/>
      <c r="C23" s="1123" t="s">
        <v>1114</v>
      </c>
      <c r="D23" s="72"/>
      <c r="E23" s="72"/>
      <c r="F23" s="72"/>
      <c r="G23" s="72"/>
      <c r="H23" s="74" t="s">
        <v>81</v>
      </c>
      <c r="I23" s="72"/>
      <c r="J23" s="1015" t="s">
        <v>104</v>
      </c>
      <c r="K23" s="72"/>
      <c r="L23" s="74">
        <v>5</v>
      </c>
      <c r="M23" s="74">
        <v>10</v>
      </c>
      <c r="N23" s="74">
        <v>7</v>
      </c>
      <c r="O23" s="1012">
        <v>65000</v>
      </c>
      <c r="P23" s="187">
        <f>L23*N23*O23</f>
        <v>2275000</v>
      </c>
      <c r="Q23" s="356"/>
      <c r="R23" s="356"/>
      <c r="S23" s="1597"/>
    </row>
    <row r="24" spans="1:19" ht="17.25" customHeight="1">
      <c r="A24" s="299"/>
      <c r="B24" s="299"/>
      <c r="C24" s="1127" t="s">
        <v>1115</v>
      </c>
      <c r="D24" s="72"/>
      <c r="E24" s="72"/>
      <c r="F24" s="72"/>
      <c r="G24" s="72"/>
      <c r="H24" s="74" t="s">
        <v>81</v>
      </c>
      <c r="I24" s="72"/>
      <c r="J24" s="1015" t="s">
        <v>104</v>
      </c>
      <c r="K24" s="72"/>
      <c r="L24" s="74">
        <v>1</v>
      </c>
      <c r="M24" s="74">
        <v>10</v>
      </c>
      <c r="N24" s="74">
        <v>7</v>
      </c>
      <c r="O24" s="1012">
        <v>60000</v>
      </c>
      <c r="P24" s="187">
        <f t="shared" ref="P24:P27" si="0">L24*N24*O24</f>
        <v>420000</v>
      </c>
      <c r="Q24" s="356"/>
      <c r="R24" s="356"/>
      <c r="S24" s="1598"/>
    </row>
    <row r="25" spans="1:19" ht="17.25" customHeight="1">
      <c r="A25" s="299"/>
      <c r="B25" s="299"/>
      <c r="C25" s="1127" t="s">
        <v>1116</v>
      </c>
      <c r="D25" s="72"/>
      <c r="E25" s="72"/>
      <c r="F25" s="72"/>
      <c r="G25" s="72"/>
      <c r="H25" s="74" t="s">
        <v>81</v>
      </c>
      <c r="I25" s="1015" t="s">
        <v>104</v>
      </c>
      <c r="J25" s="72"/>
      <c r="K25" s="72"/>
      <c r="L25" s="74">
        <v>4</v>
      </c>
      <c r="M25" s="74">
        <v>5</v>
      </c>
      <c r="N25" s="74">
        <v>8</v>
      </c>
      <c r="O25" s="1012">
        <v>60000</v>
      </c>
      <c r="P25" s="187">
        <f>L25*N25*O25</f>
        <v>1920000</v>
      </c>
      <c r="Q25" s="356"/>
      <c r="R25" s="356"/>
      <c r="S25" s="1596" t="s">
        <v>1623</v>
      </c>
    </row>
    <row r="26" spans="1:19" ht="17.25" customHeight="1">
      <c r="A26" s="302"/>
      <c r="B26" s="302"/>
      <c r="C26" s="1127" t="s">
        <v>1116</v>
      </c>
      <c r="D26" s="72"/>
      <c r="E26" s="72"/>
      <c r="F26" s="72"/>
      <c r="G26" s="72"/>
      <c r="H26" s="74" t="s">
        <v>81</v>
      </c>
      <c r="I26" s="72"/>
      <c r="J26" s="1015" t="s">
        <v>104</v>
      </c>
      <c r="K26" s="72"/>
      <c r="L26" s="74">
        <v>1</v>
      </c>
      <c r="M26" s="74">
        <v>10</v>
      </c>
      <c r="N26" s="74">
        <v>8</v>
      </c>
      <c r="O26" s="1012">
        <v>65000</v>
      </c>
      <c r="P26" s="187">
        <f>L26*N26*O26</f>
        <v>520000</v>
      </c>
      <c r="Q26" s="356"/>
      <c r="R26" s="356"/>
      <c r="S26" s="1597"/>
    </row>
    <row r="27" spans="1:19" ht="17.25" customHeight="1">
      <c r="A27" s="302"/>
      <c r="B27" s="302"/>
      <c r="C27" s="1127" t="s">
        <v>1117</v>
      </c>
      <c r="D27" s="72"/>
      <c r="E27" s="72"/>
      <c r="F27" s="72"/>
      <c r="G27" s="72"/>
      <c r="H27" s="74" t="s">
        <v>81</v>
      </c>
      <c r="I27" s="1015" t="s">
        <v>104</v>
      </c>
      <c r="J27" s="72"/>
      <c r="K27" s="72"/>
      <c r="L27" s="74">
        <v>5</v>
      </c>
      <c r="M27" s="74">
        <v>5</v>
      </c>
      <c r="N27" s="74">
        <v>8</v>
      </c>
      <c r="O27" s="1012">
        <v>60000</v>
      </c>
      <c r="P27" s="187">
        <f t="shared" si="0"/>
        <v>2400000</v>
      </c>
      <c r="Q27" s="356"/>
      <c r="R27" s="356"/>
      <c r="S27" s="1597"/>
    </row>
    <row r="28" spans="1:19" ht="17.25" customHeight="1">
      <c r="A28" s="302"/>
      <c r="B28" s="302"/>
      <c r="C28" s="1127" t="s">
        <v>1117</v>
      </c>
      <c r="D28" s="72"/>
      <c r="E28" s="72"/>
      <c r="F28" s="72"/>
      <c r="G28" s="72"/>
      <c r="H28" s="74" t="s">
        <v>81</v>
      </c>
      <c r="I28" s="72"/>
      <c r="J28" s="1015" t="s">
        <v>104</v>
      </c>
      <c r="K28" s="72"/>
      <c r="L28" s="74">
        <v>8</v>
      </c>
      <c r="M28" s="74">
        <v>6</v>
      </c>
      <c r="N28" s="74">
        <v>8</v>
      </c>
      <c r="O28" s="1012">
        <v>65000</v>
      </c>
      <c r="P28" s="187">
        <f t="shared" ref="P28:P41" si="1">L28*N28*O28</f>
        <v>4160000</v>
      </c>
      <c r="Q28" s="356"/>
      <c r="R28" s="356"/>
      <c r="S28" s="1598"/>
    </row>
    <row r="29" spans="1:19" ht="17.25" customHeight="1">
      <c r="A29" s="299"/>
      <c r="B29" s="299"/>
      <c r="C29" s="1127" t="s">
        <v>1118</v>
      </c>
      <c r="D29" s="72"/>
      <c r="E29" s="72"/>
      <c r="F29" s="72"/>
      <c r="G29" s="72"/>
      <c r="H29" s="74" t="s">
        <v>81</v>
      </c>
      <c r="I29" s="1015" t="s">
        <v>104</v>
      </c>
      <c r="J29" s="72"/>
      <c r="K29" s="72"/>
      <c r="L29" s="74">
        <v>6</v>
      </c>
      <c r="M29" s="74">
        <v>5</v>
      </c>
      <c r="N29" s="74">
        <v>7</v>
      </c>
      <c r="O29" s="1012">
        <v>60000</v>
      </c>
      <c r="P29" s="187">
        <f t="shared" si="1"/>
        <v>2520000</v>
      </c>
      <c r="Q29" s="356"/>
      <c r="R29" s="356"/>
      <c r="S29" s="1596" t="s">
        <v>1624</v>
      </c>
    </row>
    <row r="30" spans="1:19" ht="17.25" customHeight="1">
      <c r="A30" s="299"/>
      <c r="B30" s="299"/>
      <c r="C30" s="1127" t="s">
        <v>1118</v>
      </c>
      <c r="D30" s="72"/>
      <c r="E30" s="72"/>
      <c r="F30" s="72"/>
      <c r="G30" s="72"/>
      <c r="H30" s="74" t="s">
        <v>81</v>
      </c>
      <c r="I30" s="72"/>
      <c r="J30" s="1015" t="s">
        <v>104</v>
      </c>
      <c r="K30" s="72"/>
      <c r="L30" s="74">
        <v>5</v>
      </c>
      <c r="M30" s="74">
        <v>5</v>
      </c>
      <c r="N30" s="74">
        <v>7</v>
      </c>
      <c r="O30" s="1012">
        <v>65000</v>
      </c>
      <c r="P30" s="187">
        <f t="shared" si="1"/>
        <v>2275000</v>
      </c>
      <c r="Q30" s="356"/>
      <c r="R30" s="356"/>
      <c r="S30" s="1597"/>
    </row>
    <row r="31" spans="1:19" ht="17.25" customHeight="1">
      <c r="A31" s="299"/>
      <c r="B31" s="299"/>
      <c r="C31" s="1127" t="s">
        <v>1119</v>
      </c>
      <c r="D31" s="72"/>
      <c r="E31" s="72"/>
      <c r="F31" s="72"/>
      <c r="G31" s="72"/>
      <c r="H31" s="74" t="s">
        <v>81</v>
      </c>
      <c r="I31" s="1015" t="s">
        <v>104</v>
      </c>
      <c r="J31" s="72"/>
      <c r="K31" s="72"/>
      <c r="L31" s="74">
        <v>1</v>
      </c>
      <c r="M31" s="74">
        <v>6</v>
      </c>
      <c r="N31" s="74">
        <v>7</v>
      </c>
      <c r="O31" s="1012">
        <v>65000</v>
      </c>
      <c r="P31" s="187">
        <f t="shared" si="1"/>
        <v>455000</v>
      </c>
      <c r="Q31" s="356"/>
      <c r="R31" s="356"/>
      <c r="S31" s="1597"/>
    </row>
    <row r="32" spans="1:19" ht="17.25" customHeight="1">
      <c r="A32" s="299"/>
      <c r="B32" s="299"/>
      <c r="C32" s="1127" t="s">
        <v>1120</v>
      </c>
      <c r="D32" s="72"/>
      <c r="E32" s="72"/>
      <c r="F32" s="72"/>
      <c r="G32" s="72"/>
      <c r="H32" s="74" t="s">
        <v>81</v>
      </c>
      <c r="I32" s="72"/>
      <c r="J32" s="1015" t="s">
        <v>104</v>
      </c>
      <c r="K32" s="72"/>
      <c r="L32" s="74">
        <v>4</v>
      </c>
      <c r="M32" s="74">
        <v>5</v>
      </c>
      <c r="N32" s="74">
        <v>7</v>
      </c>
      <c r="O32" s="1012">
        <v>60000</v>
      </c>
      <c r="P32" s="187">
        <f t="shared" si="1"/>
        <v>1680000</v>
      </c>
      <c r="Q32" s="356"/>
      <c r="R32" s="356"/>
      <c r="S32" s="1597"/>
    </row>
    <row r="33" spans="1:19" ht="17.25" customHeight="1">
      <c r="A33" s="344"/>
      <c r="B33" s="344"/>
      <c r="C33" s="1127" t="s">
        <v>1121</v>
      </c>
      <c r="D33" s="72"/>
      <c r="E33" s="72"/>
      <c r="F33" s="72"/>
      <c r="G33" s="72"/>
      <c r="H33" s="74" t="s">
        <v>81</v>
      </c>
      <c r="I33" s="72"/>
      <c r="J33" s="1015" t="s">
        <v>104</v>
      </c>
      <c r="K33" s="72"/>
      <c r="L33" s="74">
        <v>5</v>
      </c>
      <c r="M33" s="74">
        <v>6</v>
      </c>
      <c r="N33" s="74">
        <v>8</v>
      </c>
      <c r="O33" s="1012">
        <v>60000</v>
      </c>
      <c r="P33" s="187">
        <f t="shared" si="1"/>
        <v>2400000</v>
      </c>
      <c r="Q33" s="359"/>
      <c r="R33" s="359"/>
      <c r="S33" s="1598"/>
    </row>
    <row r="34" spans="1:19" ht="17.25" customHeight="1">
      <c r="A34" s="302"/>
      <c r="B34" s="302"/>
      <c r="C34" s="1123" t="s">
        <v>1122</v>
      </c>
      <c r="D34" s="72"/>
      <c r="E34" s="72"/>
      <c r="F34" s="72"/>
      <c r="G34" s="72"/>
      <c r="H34" s="74" t="s">
        <v>81</v>
      </c>
      <c r="I34" s="1015" t="s">
        <v>104</v>
      </c>
      <c r="J34" s="72"/>
      <c r="K34" s="72"/>
      <c r="L34" s="74">
        <v>2</v>
      </c>
      <c r="M34" s="74">
        <v>12</v>
      </c>
      <c r="N34" s="74">
        <v>8</v>
      </c>
      <c r="O34" s="1012">
        <v>60000</v>
      </c>
      <c r="P34" s="187">
        <f t="shared" si="1"/>
        <v>960000</v>
      </c>
      <c r="Q34" s="356"/>
      <c r="R34" s="356"/>
      <c r="S34" s="1152" t="s">
        <v>187</v>
      </c>
    </row>
    <row r="35" spans="1:19" ht="17.25" customHeight="1">
      <c r="A35" s="302"/>
      <c r="B35" s="302"/>
      <c r="C35" s="1123" t="s">
        <v>1123</v>
      </c>
      <c r="D35" s="72"/>
      <c r="E35" s="72"/>
      <c r="F35" s="72"/>
      <c r="G35" s="72"/>
      <c r="H35" s="74" t="s">
        <v>81</v>
      </c>
      <c r="I35" s="72"/>
      <c r="J35" s="1015" t="s">
        <v>104</v>
      </c>
      <c r="K35" s="72"/>
      <c r="L35" s="74">
        <v>1</v>
      </c>
      <c r="M35" s="74"/>
      <c r="N35" s="74">
        <v>8</v>
      </c>
      <c r="O35" s="1012">
        <v>60000</v>
      </c>
      <c r="P35" s="187">
        <f t="shared" si="1"/>
        <v>480000</v>
      </c>
      <c r="Q35" s="316"/>
      <c r="R35" s="316"/>
      <c r="S35" s="1596" t="s">
        <v>1627</v>
      </c>
    </row>
    <row r="36" spans="1:19" ht="17.25" customHeight="1">
      <c r="A36" s="302"/>
      <c r="B36" s="302"/>
      <c r="C36" s="1123" t="s">
        <v>1124</v>
      </c>
      <c r="D36" s="72"/>
      <c r="E36" s="72"/>
      <c r="F36" s="72"/>
      <c r="G36" s="72"/>
      <c r="H36" s="74" t="s">
        <v>81</v>
      </c>
      <c r="I36" s="1015" t="s">
        <v>104</v>
      </c>
      <c r="J36" s="72"/>
      <c r="K36" s="72"/>
      <c r="L36" s="74">
        <v>4</v>
      </c>
      <c r="M36" s="74">
        <v>12</v>
      </c>
      <c r="N36" s="74">
        <v>8</v>
      </c>
      <c r="O36" s="1012">
        <v>60000</v>
      </c>
      <c r="P36" s="187">
        <f t="shared" si="1"/>
        <v>1920000</v>
      </c>
      <c r="Q36" s="321"/>
      <c r="R36" s="322"/>
      <c r="S36" s="1597"/>
    </row>
    <row r="37" spans="1:19" ht="17.25" customHeight="1">
      <c r="A37" s="302"/>
      <c r="B37" s="302"/>
      <c r="C37" s="1123" t="s">
        <v>1125</v>
      </c>
      <c r="D37" s="72"/>
      <c r="E37" s="72"/>
      <c r="F37" s="72"/>
      <c r="G37" s="72"/>
      <c r="H37" s="74" t="s">
        <v>81</v>
      </c>
      <c r="I37" s="1015" t="s">
        <v>104</v>
      </c>
      <c r="J37" s="72"/>
      <c r="K37" s="72"/>
      <c r="L37" s="74">
        <v>2</v>
      </c>
      <c r="M37" s="74">
        <v>6</v>
      </c>
      <c r="N37" s="74">
        <v>8</v>
      </c>
      <c r="O37" s="1012">
        <v>60000</v>
      </c>
      <c r="P37" s="187">
        <f t="shared" si="1"/>
        <v>960000</v>
      </c>
      <c r="Q37" s="266"/>
      <c r="R37" s="327"/>
      <c r="S37" s="1597"/>
    </row>
    <row r="38" spans="1:19" ht="17.25" customHeight="1">
      <c r="A38" s="302"/>
      <c r="B38" s="302"/>
      <c r="C38" s="1123" t="s">
        <v>1126</v>
      </c>
      <c r="D38" s="72"/>
      <c r="E38" s="72"/>
      <c r="F38" s="72"/>
      <c r="G38" s="72"/>
      <c r="H38" s="74" t="s">
        <v>81</v>
      </c>
      <c r="I38" s="1015" t="s">
        <v>104</v>
      </c>
      <c r="J38" s="72"/>
      <c r="K38" s="72"/>
      <c r="L38" s="74">
        <v>2</v>
      </c>
      <c r="M38" s="74">
        <v>6</v>
      </c>
      <c r="N38" s="74">
        <v>8</v>
      </c>
      <c r="O38" s="1012">
        <v>60000</v>
      </c>
      <c r="P38" s="187">
        <f t="shared" si="1"/>
        <v>960000</v>
      </c>
      <c r="Q38" s="328"/>
      <c r="R38" s="328"/>
      <c r="S38" s="1597"/>
    </row>
    <row r="39" spans="1:19" ht="17.25" customHeight="1">
      <c r="A39" s="302"/>
      <c r="B39" s="302"/>
      <c r="C39" s="1123" t="s">
        <v>1127</v>
      </c>
      <c r="D39" s="72"/>
      <c r="E39" s="72"/>
      <c r="F39" s="72"/>
      <c r="G39" s="72"/>
      <c r="H39" s="74" t="s">
        <v>81</v>
      </c>
      <c r="I39" s="1015" t="s">
        <v>104</v>
      </c>
      <c r="J39" s="72"/>
      <c r="K39" s="72"/>
      <c r="L39" s="74">
        <v>3</v>
      </c>
      <c r="M39" s="74">
        <v>5</v>
      </c>
      <c r="N39" s="74">
        <v>6</v>
      </c>
      <c r="O39" s="1012">
        <v>60000</v>
      </c>
      <c r="P39" s="187">
        <f t="shared" si="1"/>
        <v>1080000</v>
      </c>
      <c r="Q39" s="328"/>
      <c r="R39" s="328"/>
      <c r="S39" s="1597"/>
    </row>
    <row r="40" spans="1:19" ht="17.25" customHeight="1">
      <c r="A40" s="302"/>
      <c r="B40" s="302"/>
      <c r="C40" s="1123" t="s">
        <v>1128</v>
      </c>
      <c r="D40" s="72"/>
      <c r="E40" s="72"/>
      <c r="F40" s="72"/>
      <c r="G40" s="72"/>
      <c r="H40" s="74" t="s">
        <v>81</v>
      </c>
      <c r="I40" s="1015" t="s">
        <v>104</v>
      </c>
      <c r="J40" s="72"/>
      <c r="K40" s="72"/>
      <c r="L40" s="74">
        <v>5</v>
      </c>
      <c r="M40" s="74">
        <v>5</v>
      </c>
      <c r="N40" s="74">
        <v>5</v>
      </c>
      <c r="O40" s="1012">
        <v>65000</v>
      </c>
      <c r="P40" s="187">
        <f t="shared" si="1"/>
        <v>1625000</v>
      </c>
      <c r="Q40" s="327"/>
      <c r="R40" s="327"/>
      <c r="S40" s="1597"/>
    </row>
    <row r="41" spans="1:19" ht="17.25" customHeight="1">
      <c r="A41" s="302"/>
      <c r="B41" s="302"/>
      <c r="C41" s="1123" t="s">
        <v>1129</v>
      </c>
      <c r="D41" s="72"/>
      <c r="E41" s="72"/>
      <c r="F41" s="72"/>
      <c r="G41" s="72"/>
      <c r="H41" s="74" t="s">
        <v>81</v>
      </c>
      <c r="I41" s="1015" t="s">
        <v>104</v>
      </c>
      <c r="J41" s="72"/>
      <c r="K41" s="72"/>
      <c r="L41" s="74">
        <v>1</v>
      </c>
      <c r="M41" s="74">
        <v>5</v>
      </c>
      <c r="N41" s="74">
        <v>5</v>
      </c>
      <c r="O41" s="1012">
        <v>65000</v>
      </c>
      <c r="P41" s="187">
        <f t="shared" si="1"/>
        <v>325000</v>
      </c>
      <c r="Q41" s="328"/>
      <c r="R41" s="984"/>
      <c r="S41" s="1597"/>
    </row>
    <row r="42" spans="1:19" ht="17.25" customHeight="1">
      <c r="A42" s="302"/>
      <c r="B42" s="302"/>
      <c r="C42" s="1123" t="s">
        <v>1130</v>
      </c>
      <c r="D42" s="72"/>
      <c r="E42" s="72"/>
      <c r="F42" s="72"/>
      <c r="G42" s="72"/>
      <c r="H42" s="74" t="s">
        <v>81</v>
      </c>
      <c r="I42" s="1015" t="s">
        <v>104</v>
      </c>
      <c r="J42" s="72"/>
      <c r="K42" s="72"/>
      <c r="L42" s="74"/>
      <c r="M42" s="74"/>
      <c r="N42" s="74" t="s">
        <v>1131</v>
      </c>
      <c r="O42" s="1012">
        <v>7200</v>
      </c>
      <c r="P42" s="187">
        <f>5760000</f>
        <v>5760000</v>
      </c>
      <c r="Q42" s="328"/>
      <c r="R42" s="328"/>
      <c r="S42" s="1597"/>
    </row>
    <row r="43" spans="1:19" ht="17.25" customHeight="1">
      <c r="A43" s="302"/>
      <c r="B43" s="302"/>
      <c r="C43" s="1123" t="s">
        <v>1132</v>
      </c>
      <c r="D43" s="72"/>
      <c r="E43" s="72"/>
      <c r="F43" s="72"/>
      <c r="G43" s="72"/>
      <c r="H43" s="74" t="s">
        <v>81</v>
      </c>
      <c r="I43" s="1015" t="s">
        <v>104</v>
      </c>
      <c r="J43" s="72"/>
      <c r="K43" s="72"/>
      <c r="L43" s="74"/>
      <c r="M43" s="74"/>
      <c r="N43" s="74" t="s">
        <v>1131</v>
      </c>
      <c r="O43" s="1012">
        <v>7200</v>
      </c>
      <c r="P43" s="187">
        <f>1440000</f>
        <v>1440000</v>
      </c>
      <c r="Q43" s="328"/>
      <c r="R43" s="328"/>
      <c r="S43" s="1597"/>
    </row>
    <row r="44" spans="1:19" ht="17.25" customHeight="1">
      <c r="A44" s="302"/>
      <c r="B44" s="302"/>
      <c r="C44" s="1123" t="s">
        <v>1133</v>
      </c>
      <c r="D44" s="72"/>
      <c r="E44" s="72"/>
      <c r="F44" s="72"/>
      <c r="G44" s="72"/>
      <c r="H44" s="74" t="s">
        <v>808</v>
      </c>
      <c r="I44" s="1015" t="s">
        <v>104</v>
      </c>
      <c r="J44" s="72"/>
      <c r="K44" s="72"/>
      <c r="L44" s="74">
        <v>2</v>
      </c>
      <c r="M44" s="74">
        <v>3</v>
      </c>
      <c r="N44" s="74">
        <v>8</v>
      </c>
      <c r="O44" s="1012">
        <v>30000</v>
      </c>
      <c r="P44" s="187">
        <f>O44*N44*L44</f>
        <v>480000</v>
      </c>
      <c r="Q44" s="328"/>
      <c r="R44" s="328"/>
      <c r="S44" s="1597"/>
    </row>
    <row r="45" spans="1:19" ht="17.25" customHeight="1">
      <c r="A45" s="302"/>
      <c r="B45" s="302"/>
      <c r="C45" s="1123" t="s">
        <v>1134</v>
      </c>
      <c r="D45" s="72"/>
      <c r="E45" s="72"/>
      <c r="F45" s="72"/>
      <c r="G45" s="72"/>
      <c r="H45" s="74" t="s">
        <v>81</v>
      </c>
      <c r="I45" s="1015" t="s">
        <v>104</v>
      </c>
      <c r="J45" s="72"/>
      <c r="K45" s="72"/>
      <c r="L45" s="74">
        <v>2</v>
      </c>
      <c r="M45" s="74">
        <v>5</v>
      </c>
      <c r="N45" s="74">
        <v>10</v>
      </c>
      <c r="O45" s="1012">
        <v>50000</v>
      </c>
      <c r="P45" s="187">
        <f>O45*N45*L45</f>
        <v>1000000</v>
      </c>
      <c r="Q45" s="328"/>
      <c r="R45" s="328"/>
      <c r="S45" s="1596" t="s">
        <v>1626</v>
      </c>
    </row>
    <row r="46" spans="1:19" ht="17.25" customHeight="1">
      <c r="A46" s="302"/>
      <c r="B46" s="302"/>
      <c r="C46" s="1133" t="s">
        <v>112</v>
      </c>
      <c r="D46" s="72"/>
      <c r="E46" s="72"/>
      <c r="F46" s="72"/>
      <c r="G46" s="72"/>
      <c r="H46" s="74"/>
      <c r="I46" s="72"/>
      <c r="J46" s="72"/>
      <c r="K46" s="72"/>
      <c r="L46" s="74"/>
      <c r="M46" s="74"/>
      <c r="N46" s="74"/>
      <c r="O46" s="1012"/>
      <c r="P46" s="1014">
        <f>SUM(P47:P49)</f>
        <v>3960000</v>
      </c>
      <c r="Q46" s="986"/>
      <c r="R46" s="987"/>
      <c r="S46" s="1597"/>
    </row>
    <row r="47" spans="1:19" ht="17.25" customHeight="1">
      <c r="A47" s="302"/>
      <c r="B47" s="302"/>
      <c r="C47" s="1123" t="s">
        <v>1135</v>
      </c>
      <c r="D47" s="72"/>
      <c r="E47" s="72"/>
      <c r="F47" s="72"/>
      <c r="G47" s="72"/>
      <c r="H47" s="74" t="s">
        <v>114</v>
      </c>
      <c r="I47" s="1015" t="s">
        <v>104</v>
      </c>
      <c r="J47" s="72"/>
      <c r="K47" s="72"/>
      <c r="L47" s="74">
        <v>4</v>
      </c>
      <c r="M47" s="74">
        <v>2</v>
      </c>
      <c r="N47" s="74">
        <v>12</v>
      </c>
      <c r="O47" s="1012">
        <v>30000</v>
      </c>
      <c r="P47" s="187">
        <f>(O47*N47*L47)</f>
        <v>1440000</v>
      </c>
      <c r="Q47" s="331"/>
      <c r="R47" s="331"/>
      <c r="S47" s="1597"/>
    </row>
    <row r="48" spans="1:19" ht="17.25" customHeight="1">
      <c r="A48" s="302"/>
      <c r="B48" s="302"/>
      <c r="C48" s="1123" t="s">
        <v>185</v>
      </c>
      <c r="D48" s="72"/>
      <c r="E48" s="72"/>
      <c r="F48" s="72" t="s">
        <v>815</v>
      </c>
      <c r="G48" s="72"/>
      <c r="H48" s="74" t="s">
        <v>114</v>
      </c>
      <c r="I48" s="1015" t="s">
        <v>104</v>
      </c>
      <c r="J48" s="72"/>
      <c r="K48" s="72"/>
      <c r="L48" s="74">
        <v>10</v>
      </c>
      <c r="M48" s="74"/>
      <c r="N48" s="74">
        <v>12</v>
      </c>
      <c r="O48" s="1012">
        <v>15000</v>
      </c>
      <c r="P48" s="187">
        <f>(O48*N48*L48)</f>
        <v>1800000</v>
      </c>
      <c r="Q48" s="332"/>
      <c r="R48" s="332"/>
      <c r="S48" s="1597"/>
    </row>
    <row r="49" spans="1:19" ht="17.25" customHeight="1">
      <c r="A49" s="302"/>
      <c r="B49" s="302"/>
      <c r="C49" s="1123" t="s">
        <v>809</v>
      </c>
      <c r="D49" s="72"/>
      <c r="E49" s="72"/>
      <c r="F49" s="72"/>
      <c r="G49" s="72"/>
      <c r="H49" s="74" t="s">
        <v>114</v>
      </c>
      <c r="I49" s="1015" t="s">
        <v>104</v>
      </c>
      <c r="J49" s="72"/>
      <c r="K49" s="72"/>
      <c r="L49" s="74">
        <v>5</v>
      </c>
      <c r="M49" s="74"/>
      <c r="N49" s="74">
        <v>12</v>
      </c>
      <c r="O49" s="1012">
        <v>12000</v>
      </c>
      <c r="P49" s="187">
        <f>(O49*N49*L49)</f>
        <v>720000</v>
      </c>
      <c r="Q49" s="328"/>
      <c r="R49" s="328"/>
      <c r="S49" s="1598"/>
    </row>
    <row r="50" spans="1:19" ht="18.75" customHeight="1">
      <c r="A50" s="302"/>
      <c r="B50" s="302"/>
      <c r="C50" s="1133" t="s">
        <v>1313</v>
      </c>
      <c r="D50" s="72"/>
      <c r="E50" s="72"/>
      <c r="F50" s="72"/>
      <c r="G50" s="72"/>
      <c r="H50" s="72"/>
      <c r="I50" s="72"/>
      <c r="J50" s="72"/>
      <c r="K50" s="72"/>
      <c r="L50" s="74"/>
      <c r="M50" s="74"/>
      <c r="N50" s="74"/>
      <c r="O50" s="1012"/>
      <c r="P50" s="188"/>
      <c r="Q50" s="331"/>
      <c r="R50" s="331"/>
      <c r="S50" s="1596" t="s">
        <v>1628</v>
      </c>
    </row>
    <row r="51" spans="1:19" ht="17.25" customHeight="1">
      <c r="A51" s="302"/>
      <c r="B51" s="302"/>
      <c r="C51" s="1132" t="s">
        <v>1314</v>
      </c>
      <c r="D51" s="72"/>
      <c r="E51" s="72"/>
      <c r="F51" s="72"/>
      <c r="G51" s="72"/>
      <c r="H51" s="72"/>
      <c r="I51" s="72"/>
      <c r="J51" s="72"/>
      <c r="K51" s="72"/>
      <c r="L51" s="74"/>
      <c r="M51" s="74"/>
      <c r="N51" s="74"/>
      <c r="O51" s="1012"/>
      <c r="P51" s="188"/>
      <c r="Q51" s="331"/>
      <c r="R51" s="331"/>
      <c r="S51" s="1597"/>
    </row>
    <row r="52" spans="1:19" ht="17.25" customHeight="1">
      <c r="A52" s="302"/>
      <c r="B52" s="302"/>
      <c r="C52" s="1133" t="s">
        <v>1315</v>
      </c>
      <c r="D52" s="72"/>
      <c r="E52" s="72"/>
      <c r="F52" s="72"/>
      <c r="G52" s="72"/>
      <c r="H52" s="72"/>
      <c r="I52" s="72"/>
      <c r="J52" s="72"/>
      <c r="K52" s="72"/>
      <c r="L52" s="74"/>
      <c r="M52" s="74"/>
      <c r="N52" s="74"/>
      <c r="O52" s="1012"/>
      <c r="P52" s="187">
        <f>P53+P54+P62+P67+P77+P87+P95+P96</f>
        <v>4173450</v>
      </c>
      <c r="Q52" s="336"/>
      <c r="R52" s="336"/>
      <c r="S52" s="1597"/>
    </row>
    <row r="53" spans="1:19" ht="17.25" customHeight="1">
      <c r="A53" s="302"/>
      <c r="B53" s="302"/>
      <c r="C53" s="1123" t="s">
        <v>1136</v>
      </c>
      <c r="D53" s="72"/>
      <c r="E53" s="72"/>
      <c r="F53" s="72"/>
      <c r="G53" s="72"/>
      <c r="H53" s="72"/>
      <c r="I53" s="72"/>
      <c r="J53" s="72"/>
      <c r="K53" s="72"/>
      <c r="L53" s="74">
        <v>600</v>
      </c>
      <c r="M53" s="74"/>
      <c r="N53" s="74"/>
      <c r="O53" s="1012">
        <v>300</v>
      </c>
      <c r="P53" s="1014">
        <f>(O53*L53)</f>
        <v>180000</v>
      </c>
      <c r="Q53" s="328"/>
      <c r="R53" s="328"/>
      <c r="S53" s="1597"/>
    </row>
    <row r="54" spans="1:19" ht="17.25" customHeight="1">
      <c r="A54" s="302"/>
      <c r="B54" s="302"/>
      <c r="C54" s="1123" t="s">
        <v>1137</v>
      </c>
      <c r="D54" s="72"/>
      <c r="E54" s="72"/>
      <c r="F54" s="72"/>
      <c r="G54" s="72"/>
      <c r="H54" s="72"/>
      <c r="I54" s="72"/>
      <c r="J54" s="72"/>
      <c r="K54" s="72"/>
      <c r="L54" s="74"/>
      <c r="M54" s="74"/>
      <c r="N54" s="74"/>
      <c r="O54" s="1012"/>
      <c r="P54" s="1014">
        <f>P55+P56+P57+P58+P59+P60+P61</f>
        <v>242350</v>
      </c>
      <c r="Q54" s="328"/>
      <c r="R54" s="328"/>
      <c r="S54" s="1597"/>
    </row>
    <row r="55" spans="1:19" ht="17.25" customHeight="1">
      <c r="A55" s="302"/>
      <c r="B55" s="302"/>
      <c r="C55" s="1123" t="s">
        <v>1138</v>
      </c>
      <c r="D55" s="72"/>
      <c r="E55" s="72"/>
      <c r="F55" s="72"/>
      <c r="G55" s="72"/>
      <c r="H55" s="72"/>
      <c r="I55" s="72"/>
      <c r="J55" s="72"/>
      <c r="K55" s="72"/>
      <c r="L55" s="74">
        <v>95</v>
      </c>
      <c r="M55" s="74"/>
      <c r="N55" s="74"/>
      <c r="O55" s="1012">
        <v>50</v>
      </c>
      <c r="P55" s="187">
        <f>(O55*L55)</f>
        <v>4750</v>
      </c>
      <c r="Q55" s="327"/>
      <c r="R55" s="327"/>
      <c r="S55" s="1597"/>
    </row>
    <row r="56" spans="1:19" ht="17.25" customHeight="1">
      <c r="A56" s="302"/>
      <c r="B56" s="302"/>
      <c r="C56" s="1123" t="s">
        <v>1139</v>
      </c>
      <c r="D56" s="72"/>
      <c r="E56" s="72"/>
      <c r="F56" s="72"/>
      <c r="G56" s="72"/>
      <c r="H56" s="72"/>
      <c r="I56" s="72"/>
      <c r="J56" s="72"/>
      <c r="K56" s="72"/>
      <c r="L56" s="74">
        <v>95</v>
      </c>
      <c r="M56" s="74"/>
      <c r="N56" s="74">
        <v>2</v>
      </c>
      <c r="O56" s="1012">
        <v>500</v>
      </c>
      <c r="P56" s="187">
        <f>(O56*N56*L56)</f>
        <v>95000</v>
      </c>
      <c r="Q56" s="336"/>
      <c r="R56" s="336"/>
      <c r="S56" s="1598"/>
    </row>
    <row r="57" spans="1:19" ht="17.25" customHeight="1">
      <c r="A57" s="302"/>
      <c r="B57" s="302"/>
      <c r="C57" s="1123" t="s">
        <v>1140</v>
      </c>
      <c r="D57" s="72"/>
      <c r="E57" s="72"/>
      <c r="F57" s="72"/>
      <c r="G57" s="72"/>
      <c r="H57" s="72"/>
      <c r="I57" s="72"/>
      <c r="J57" s="72"/>
      <c r="K57" s="72"/>
      <c r="L57" s="74">
        <v>190</v>
      </c>
      <c r="M57" s="74"/>
      <c r="N57" s="74">
        <v>2</v>
      </c>
      <c r="O57" s="1012">
        <v>50</v>
      </c>
      <c r="P57" s="187">
        <f>(O57*N57*L57)</f>
        <v>19000</v>
      </c>
      <c r="Q57" s="328"/>
      <c r="R57" s="328"/>
      <c r="S57" s="1596" t="s">
        <v>1629</v>
      </c>
    </row>
    <row r="58" spans="1:19" ht="17.25" customHeight="1">
      <c r="A58" s="302"/>
      <c r="B58" s="302"/>
      <c r="C58" s="1123" t="s">
        <v>1141</v>
      </c>
      <c r="D58" s="72"/>
      <c r="E58" s="72"/>
      <c r="F58" s="72"/>
      <c r="G58" s="72"/>
      <c r="H58" s="72"/>
      <c r="I58" s="72"/>
      <c r="J58" s="72"/>
      <c r="K58" s="72"/>
      <c r="L58" s="74">
        <v>7</v>
      </c>
      <c r="M58" s="74"/>
      <c r="N58" s="74">
        <v>2</v>
      </c>
      <c r="O58" s="1012">
        <v>1200</v>
      </c>
      <c r="P58" s="187">
        <f>(O58*N58*L58)</f>
        <v>16800</v>
      </c>
      <c r="Q58" s="328"/>
      <c r="R58" s="328"/>
      <c r="S58" s="1597"/>
    </row>
    <row r="59" spans="1:19" ht="17.25" customHeight="1">
      <c r="A59" s="302"/>
      <c r="B59" s="302"/>
      <c r="C59" s="1123" t="s">
        <v>1142</v>
      </c>
      <c r="D59" s="72"/>
      <c r="E59" s="72"/>
      <c r="F59" s="72"/>
      <c r="G59" s="72"/>
      <c r="H59" s="72"/>
      <c r="I59" s="72"/>
      <c r="J59" s="72"/>
      <c r="K59" s="72"/>
      <c r="L59" s="74">
        <v>1</v>
      </c>
      <c r="M59" s="74"/>
      <c r="N59" s="74">
        <v>2</v>
      </c>
      <c r="O59" s="1012">
        <v>50000</v>
      </c>
      <c r="P59" s="187">
        <f>(O59*N59*L59)</f>
        <v>100000</v>
      </c>
      <c r="Q59" s="328"/>
      <c r="R59" s="328"/>
      <c r="S59" s="1597"/>
    </row>
    <row r="60" spans="1:19" ht="17.25" customHeight="1">
      <c r="A60" s="302"/>
      <c r="B60" s="302"/>
      <c r="C60" s="1123" t="s">
        <v>1143</v>
      </c>
      <c r="D60" s="72"/>
      <c r="E60" s="72"/>
      <c r="F60" s="72"/>
      <c r="G60" s="72"/>
      <c r="H60" s="72"/>
      <c r="I60" s="72"/>
      <c r="J60" s="72"/>
      <c r="K60" s="72"/>
      <c r="L60" s="74">
        <v>3</v>
      </c>
      <c r="M60" s="74"/>
      <c r="N60" s="74">
        <v>2</v>
      </c>
      <c r="O60" s="1012">
        <v>300</v>
      </c>
      <c r="P60" s="187">
        <f>(O60*N60*L60)</f>
        <v>1800</v>
      </c>
      <c r="Q60" s="328"/>
      <c r="R60" s="328"/>
      <c r="S60" s="1597"/>
    </row>
    <row r="61" spans="1:19" ht="17.25" customHeight="1">
      <c r="A61" s="1096"/>
      <c r="B61" s="1096"/>
      <c r="C61" s="1123" t="s">
        <v>1144</v>
      </c>
      <c r="D61" s="72"/>
      <c r="E61" s="72"/>
      <c r="F61" s="72"/>
      <c r="G61" s="72"/>
      <c r="H61" s="72"/>
      <c r="I61" s="72"/>
      <c r="J61" s="72"/>
      <c r="K61" s="72"/>
      <c r="L61" s="74"/>
      <c r="M61" s="74"/>
      <c r="N61" s="74"/>
      <c r="O61" s="1012">
        <v>5000</v>
      </c>
      <c r="P61" s="187">
        <f>O61</f>
        <v>5000</v>
      </c>
      <c r="Q61" s="328"/>
      <c r="R61" s="328"/>
      <c r="S61" s="1598"/>
    </row>
    <row r="62" spans="1:19" ht="17.25" customHeight="1">
      <c r="A62" s="1432"/>
      <c r="B62" s="1432"/>
      <c r="C62" s="1123" t="s">
        <v>1145</v>
      </c>
      <c r="D62" s="72"/>
      <c r="E62" s="72"/>
      <c r="F62" s="72"/>
      <c r="G62" s="72"/>
      <c r="H62" s="72"/>
      <c r="I62" s="72"/>
      <c r="J62" s="72"/>
      <c r="K62" s="72"/>
      <c r="L62" s="74"/>
      <c r="M62" s="74"/>
      <c r="N62" s="74"/>
      <c r="O62" s="1012"/>
      <c r="P62" s="1014">
        <f>P63+P64+P65+P66</f>
        <v>1328000</v>
      </c>
      <c r="Q62" s="328"/>
      <c r="R62" s="328"/>
      <c r="S62" s="1153"/>
    </row>
    <row r="63" spans="1:19" ht="17.25" customHeight="1">
      <c r="A63" s="302"/>
      <c r="B63" s="302"/>
      <c r="C63" s="1123" t="s">
        <v>1146</v>
      </c>
      <c r="D63" s="72"/>
      <c r="E63" s="72"/>
      <c r="F63" s="72"/>
      <c r="G63" s="72"/>
      <c r="H63" s="72"/>
      <c r="I63" s="72"/>
      <c r="J63" s="72"/>
      <c r="K63" s="72"/>
      <c r="L63" s="74">
        <v>270</v>
      </c>
      <c r="M63" s="74"/>
      <c r="N63" s="74"/>
      <c r="O63" s="1012">
        <v>2500</v>
      </c>
      <c r="P63" s="187">
        <f>(O63*L63)</f>
        <v>675000</v>
      </c>
      <c r="Q63" s="327"/>
      <c r="R63" s="327"/>
      <c r="S63" s="936"/>
    </row>
    <row r="64" spans="1:19" ht="17.25" customHeight="1">
      <c r="A64" s="302"/>
      <c r="B64" s="302"/>
      <c r="C64" s="1123" t="s">
        <v>1147</v>
      </c>
      <c r="D64" s="72"/>
      <c r="E64" s="72"/>
      <c r="F64" s="72"/>
      <c r="G64" s="72"/>
      <c r="H64" s="72"/>
      <c r="I64" s="72"/>
      <c r="J64" s="72"/>
      <c r="K64" s="72"/>
      <c r="L64" s="74">
        <v>270</v>
      </c>
      <c r="M64" s="74"/>
      <c r="N64" s="74"/>
      <c r="O64" s="1012">
        <v>1200</v>
      </c>
      <c r="P64" s="187">
        <f>(O64*L64)</f>
        <v>324000</v>
      </c>
      <c r="Q64" s="336"/>
      <c r="R64" s="336"/>
    </row>
    <row r="65" spans="1:19" ht="17.25" customHeight="1">
      <c r="A65" s="302"/>
      <c r="B65" s="302"/>
      <c r="C65" s="1123" t="s">
        <v>1148</v>
      </c>
      <c r="D65" s="72"/>
      <c r="E65" s="72"/>
      <c r="F65" s="72"/>
      <c r="G65" s="72"/>
      <c r="H65" s="72"/>
      <c r="I65" s="72"/>
      <c r="J65" s="72"/>
      <c r="K65" s="72"/>
      <c r="L65" s="74">
        <v>1080</v>
      </c>
      <c r="M65" s="74"/>
      <c r="N65" s="74"/>
      <c r="O65" s="1012">
        <v>300</v>
      </c>
      <c r="P65" s="187">
        <f>(O65*L65)</f>
        <v>324000</v>
      </c>
      <c r="Q65" s="331"/>
      <c r="R65" s="331"/>
      <c r="S65" s="72"/>
    </row>
    <row r="66" spans="1:19" ht="17.25" customHeight="1">
      <c r="A66" s="302"/>
      <c r="B66" s="302"/>
      <c r="C66" s="1123" t="s">
        <v>1149</v>
      </c>
      <c r="D66" s="72"/>
      <c r="E66" s="72"/>
      <c r="F66" s="72"/>
      <c r="G66" s="72"/>
      <c r="H66" s="72"/>
      <c r="I66" s="72"/>
      <c r="J66" s="72"/>
      <c r="K66" s="72"/>
      <c r="L66" s="74"/>
      <c r="M66" s="74"/>
      <c r="N66" s="74"/>
      <c r="O66" s="1012">
        <v>5000</v>
      </c>
      <c r="P66" s="187">
        <f>O66</f>
        <v>5000</v>
      </c>
      <c r="Q66" s="331"/>
      <c r="R66" s="331"/>
      <c r="S66" s="72"/>
    </row>
    <row r="67" spans="1:19" ht="17.25" customHeight="1">
      <c r="A67" s="302"/>
      <c r="B67" s="302"/>
      <c r="C67" s="1123" t="s">
        <v>1150</v>
      </c>
      <c r="D67" s="72"/>
      <c r="E67" s="72"/>
      <c r="F67" s="72"/>
      <c r="G67" s="72"/>
      <c r="H67" s="72"/>
      <c r="I67" s="72"/>
      <c r="J67" s="72"/>
      <c r="K67" s="72"/>
      <c r="L67" s="74"/>
      <c r="M67" s="74"/>
      <c r="N67" s="74"/>
      <c r="O67" s="1012"/>
      <c r="P67" s="1014">
        <f>P68+P69+P70+P71+P72+P73+P74+P75+P76</f>
        <v>1733000</v>
      </c>
      <c r="Q67" s="331"/>
      <c r="R67" s="331"/>
      <c r="S67" s="72"/>
    </row>
    <row r="68" spans="1:19" ht="17.25" customHeight="1">
      <c r="A68" s="302"/>
      <c r="B68" s="302"/>
      <c r="C68" s="1123" t="s">
        <v>1151</v>
      </c>
      <c r="D68" s="72"/>
      <c r="E68" s="72"/>
      <c r="F68" s="72"/>
      <c r="G68" s="72"/>
      <c r="H68" s="72"/>
      <c r="I68" s="72"/>
      <c r="J68" s="72"/>
      <c r="K68" s="72"/>
      <c r="L68" s="74">
        <v>500</v>
      </c>
      <c r="M68" s="74"/>
      <c r="N68" s="74"/>
      <c r="O68" s="1012">
        <v>70</v>
      </c>
      <c r="P68" s="187">
        <f>(O68*L68)</f>
        <v>35000</v>
      </c>
      <c r="Q68" s="331"/>
      <c r="R68" s="331"/>
      <c r="S68" s="72"/>
    </row>
    <row r="69" spans="1:19" ht="17.25" customHeight="1">
      <c r="A69" s="302"/>
      <c r="B69" s="302"/>
      <c r="C69" s="1123" t="s">
        <v>1152</v>
      </c>
      <c r="D69" s="72"/>
      <c r="E69" s="72"/>
      <c r="F69" s="72"/>
      <c r="G69" s="72"/>
      <c r="H69" s="72"/>
      <c r="I69" s="72"/>
      <c r="J69" s="72"/>
      <c r="K69" s="72"/>
      <c r="L69" s="74">
        <v>505</v>
      </c>
      <c r="M69" s="74"/>
      <c r="N69" s="74">
        <v>3</v>
      </c>
      <c r="O69" s="1012">
        <v>500</v>
      </c>
      <c r="P69" s="187">
        <f t="shared" ref="P69:P75" si="2">(O69*N69*L69)</f>
        <v>757500</v>
      </c>
      <c r="Q69" s="991"/>
      <c r="R69" s="991"/>
      <c r="S69" s="72"/>
    </row>
    <row r="70" spans="1:19" ht="17.25" customHeight="1">
      <c r="A70" s="302"/>
      <c r="B70" s="302"/>
      <c r="C70" s="1123" t="s">
        <v>1153</v>
      </c>
      <c r="D70" s="72"/>
      <c r="E70" s="72"/>
      <c r="F70" s="72"/>
      <c r="G70" s="72"/>
      <c r="H70" s="72"/>
      <c r="I70" s="72"/>
      <c r="J70" s="72"/>
      <c r="K70" s="72"/>
      <c r="L70" s="74">
        <v>1010</v>
      </c>
      <c r="M70" s="74"/>
      <c r="N70" s="74">
        <v>3</v>
      </c>
      <c r="O70" s="1012">
        <v>50</v>
      </c>
      <c r="P70" s="187">
        <f t="shared" si="2"/>
        <v>151500</v>
      </c>
      <c r="Q70" s="338"/>
      <c r="R70" s="338"/>
      <c r="S70" s="72"/>
    </row>
    <row r="71" spans="1:19" ht="17.25" customHeight="1">
      <c r="A71" s="302"/>
      <c r="B71" s="302"/>
      <c r="C71" s="1123" t="s">
        <v>1154</v>
      </c>
      <c r="D71" s="72"/>
      <c r="E71" s="72"/>
      <c r="F71" s="72"/>
      <c r="G71" s="72"/>
      <c r="H71" s="72"/>
      <c r="I71" s="72"/>
      <c r="J71" s="72"/>
      <c r="K71" s="72"/>
      <c r="L71" s="74">
        <v>21</v>
      </c>
      <c r="M71" s="74"/>
      <c r="N71" s="74">
        <v>4</v>
      </c>
      <c r="O71" s="1012">
        <v>1200</v>
      </c>
      <c r="P71" s="187">
        <f t="shared" si="2"/>
        <v>100800</v>
      </c>
      <c r="Q71" s="327"/>
      <c r="R71" s="327"/>
      <c r="S71" s="72"/>
    </row>
    <row r="72" spans="1:19" ht="17.25" customHeight="1">
      <c r="A72" s="302"/>
      <c r="B72" s="302"/>
      <c r="C72" s="1123" t="s">
        <v>1155</v>
      </c>
      <c r="D72" s="72"/>
      <c r="E72" s="72"/>
      <c r="F72" s="72"/>
      <c r="G72" s="72"/>
      <c r="H72" s="72"/>
      <c r="I72" s="72"/>
      <c r="J72" s="72"/>
      <c r="K72" s="72"/>
      <c r="L72" s="74">
        <v>4</v>
      </c>
      <c r="M72" s="74"/>
      <c r="N72" s="74">
        <v>3</v>
      </c>
      <c r="O72" s="1012">
        <v>50000</v>
      </c>
      <c r="P72" s="187">
        <f t="shared" si="2"/>
        <v>600000</v>
      </c>
      <c r="Q72" s="328"/>
      <c r="R72" s="328"/>
      <c r="S72" s="72"/>
    </row>
    <row r="73" spans="1:19" ht="17.25" customHeight="1">
      <c r="A73" s="302"/>
      <c r="B73" s="302"/>
      <c r="C73" s="1123" t="s">
        <v>1156</v>
      </c>
      <c r="D73" s="72"/>
      <c r="E73" s="72"/>
      <c r="F73" s="72"/>
      <c r="G73" s="72"/>
      <c r="H73" s="72"/>
      <c r="I73" s="72"/>
      <c r="J73" s="72"/>
      <c r="K73" s="72"/>
      <c r="L73" s="74">
        <v>12</v>
      </c>
      <c r="M73" s="74"/>
      <c r="N73" s="74">
        <v>4</v>
      </c>
      <c r="O73" s="1012">
        <v>300</v>
      </c>
      <c r="P73" s="187">
        <f t="shared" si="2"/>
        <v>14400</v>
      </c>
      <c r="Q73" s="328"/>
      <c r="R73" s="328"/>
      <c r="S73" s="72"/>
    </row>
    <row r="74" spans="1:19" ht="17.25" customHeight="1">
      <c r="A74" s="302"/>
      <c r="B74" s="302"/>
      <c r="C74" s="1123" t="s">
        <v>1157</v>
      </c>
      <c r="D74" s="72"/>
      <c r="E74" s="72"/>
      <c r="F74" s="72"/>
      <c r="G74" s="72"/>
      <c r="H74" s="72"/>
      <c r="I74" s="72"/>
      <c r="J74" s="72"/>
      <c r="K74" s="72"/>
      <c r="L74" s="74">
        <v>4</v>
      </c>
      <c r="M74" s="74"/>
      <c r="N74" s="74">
        <v>4</v>
      </c>
      <c r="O74" s="1012">
        <v>2500</v>
      </c>
      <c r="P74" s="187">
        <f t="shared" si="2"/>
        <v>40000</v>
      </c>
      <c r="Q74" s="339"/>
      <c r="R74" s="339"/>
      <c r="S74" s="72"/>
    </row>
    <row r="75" spans="1:19" ht="17.25" customHeight="1">
      <c r="A75" s="302"/>
      <c r="B75" s="302"/>
      <c r="C75" s="1123" t="s">
        <v>1158</v>
      </c>
      <c r="D75" s="72"/>
      <c r="E75" s="72"/>
      <c r="F75" s="72"/>
      <c r="G75" s="72"/>
      <c r="H75" s="72"/>
      <c r="I75" s="72"/>
      <c r="J75" s="72"/>
      <c r="K75" s="72"/>
      <c r="L75" s="74">
        <v>6</v>
      </c>
      <c r="M75" s="74"/>
      <c r="N75" s="74">
        <v>4</v>
      </c>
      <c r="O75" s="1012">
        <v>1200</v>
      </c>
      <c r="P75" s="187">
        <f t="shared" si="2"/>
        <v>28800</v>
      </c>
      <c r="Q75" s="328"/>
      <c r="R75" s="328"/>
      <c r="S75" s="72"/>
    </row>
    <row r="76" spans="1:19" ht="17.25" customHeight="1">
      <c r="A76" s="302"/>
      <c r="B76" s="302"/>
      <c r="C76" s="1123" t="s">
        <v>1149</v>
      </c>
      <c r="D76" s="72"/>
      <c r="E76" s="72"/>
      <c r="F76" s="72"/>
      <c r="G76" s="72"/>
      <c r="H76" s="72"/>
      <c r="I76" s="72"/>
      <c r="J76" s="72"/>
      <c r="K76" s="72"/>
      <c r="L76" s="74"/>
      <c r="M76" s="74"/>
      <c r="N76" s="74"/>
      <c r="O76" s="1012">
        <v>5000</v>
      </c>
      <c r="P76" s="187">
        <f>O76</f>
        <v>5000</v>
      </c>
      <c r="Q76" s="984"/>
      <c r="R76" s="327"/>
      <c r="S76" s="72"/>
    </row>
    <row r="77" spans="1:19" ht="17.25" customHeight="1">
      <c r="A77" s="302"/>
      <c r="B77" s="302"/>
      <c r="C77" s="1123" t="s">
        <v>1159</v>
      </c>
      <c r="D77" s="72"/>
      <c r="E77" s="72"/>
      <c r="F77" s="72"/>
      <c r="G77" s="72"/>
      <c r="H77" s="72"/>
      <c r="I77" s="72"/>
      <c r="J77" s="72"/>
      <c r="K77" s="72"/>
      <c r="L77" s="74"/>
      <c r="M77" s="74"/>
      <c r="N77" s="74"/>
      <c r="O77" s="1012"/>
      <c r="P77" s="1014">
        <f>P78+P79+P80+P81+P82+P83+P84+P85+P86</f>
        <v>241000</v>
      </c>
      <c r="Q77" s="338"/>
      <c r="R77" s="340"/>
      <c r="S77" s="72"/>
    </row>
    <row r="78" spans="1:19" ht="17.25" customHeight="1">
      <c r="A78" s="302"/>
      <c r="B78" s="302"/>
      <c r="C78" s="1123" t="s">
        <v>1160</v>
      </c>
      <c r="D78" s="72"/>
      <c r="E78" s="72"/>
      <c r="F78" s="72"/>
      <c r="G78" s="72"/>
      <c r="H78" s="72"/>
      <c r="I78" s="72"/>
      <c r="J78" s="72"/>
      <c r="K78" s="72"/>
      <c r="L78" s="74">
        <v>60</v>
      </c>
      <c r="M78" s="74"/>
      <c r="N78" s="74"/>
      <c r="O78" s="1012">
        <v>70</v>
      </c>
      <c r="P78" s="187">
        <f>(O78*L78)</f>
        <v>4200</v>
      </c>
      <c r="Q78" s="328"/>
      <c r="R78" s="328"/>
      <c r="S78" s="72"/>
    </row>
    <row r="79" spans="1:19" ht="17.25" customHeight="1">
      <c r="A79" s="302"/>
      <c r="B79" s="302"/>
      <c r="C79" s="1123" t="s">
        <v>1161</v>
      </c>
      <c r="D79" s="72"/>
      <c r="E79" s="72"/>
      <c r="F79" s="72"/>
      <c r="G79" s="72"/>
      <c r="H79" s="72"/>
      <c r="I79" s="72"/>
      <c r="J79" s="72"/>
      <c r="K79" s="72"/>
      <c r="L79" s="74">
        <v>65</v>
      </c>
      <c r="M79" s="74"/>
      <c r="N79" s="74">
        <v>2</v>
      </c>
      <c r="O79" s="1012">
        <v>500</v>
      </c>
      <c r="P79" s="187">
        <f t="shared" ref="P79:P85" si="3">(O79*N79*L79)</f>
        <v>65000</v>
      </c>
      <c r="Q79" s="327"/>
      <c r="R79" s="327"/>
      <c r="S79" s="72"/>
    </row>
    <row r="80" spans="1:19" ht="17.25" customHeight="1">
      <c r="A80" s="302"/>
      <c r="B80" s="302"/>
      <c r="C80" s="1123" t="s">
        <v>1162</v>
      </c>
      <c r="D80" s="72"/>
      <c r="E80" s="72"/>
      <c r="F80" s="72"/>
      <c r="G80" s="72"/>
      <c r="H80" s="72"/>
      <c r="I80" s="72"/>
      <c r="J80" s="72"/>
      <c r="K80" s="72"/>
      <c r="L80" s="74">
        <v>130</v>
      </c>
      <c r="M80" s="74"/>
      <c r="N80" s="74">
        <v>2</v>
      </c>
      <c r="O80" s="1012">
        <v>50</v>
      </c>
      <c r="P80" s="187">
        <f t="shared" si="3"/>
        <v>13000</v>
      </c>
      <c r="Q80" s="328"/>
      <c r="R80" s="328"/>
      <c r="S80" s="72"/>
    </row>
    <row r="81" spans="1:19" ht="17.25" customHeight="1">
      <c r="A81" s="302"/>
      <c r="B81" s="302"/>
      <c r="C81" s="1123" t="s">
        <v>1163</v>
      </c>
      <c r="D81" s="72"/>
      <c r="E81" s="72"/>
      <c r="F81" s="72"/>
      <c r="G81" s="72"/>
      <c r="H81" s="72"/>
      <c r="I81" s="72"/>
      <c r="J81" s="72"/>
      <c r="K81" s="72"/>
      <c r="L81" s="74">
        <v>7</v>
      </c>
      <c r="M81" s="74"/>
      <c r="N81" s="74">
        <v>2</v>
      </c>
      <c r="O81" s="1012">
        <v>1200</v>
      </c>
      <c r="P81" s="187">
        <f t="shared" si="3"/>
        <v>16800</v>
      </c>
      <c r="Q81" s="328"/>
      <c r="R81" s="328"/>
      <c r="S81" s="72"/>
    </row>
    <row r="82" spans="1:19" ht="17.25" customHeight="1">
      <c r="A82" s="302"/>
      <c r="B82" s="302"/>
      <c r="C82" s="1123" t="s">
        <v>1164</v>
      </c>
      <c r="D82" s="72"/>
      <c r="E82" s="72"/>
      <c r="F82" s="72"/>
      <c r="G82" s="72"/>
      <c r="H82" s="72"/>
      <c r="I82" s="72"/>
      <c r="J82" s="72"/>
      <c r="K82" s="72"/>
      <c r="L82" s="74">
        <v>1</v>
      </c>
      <c r="M82" s="74"/>
      <c r="N82" s="74">
        <v>2</v>
      </c>
      <c r="O82" s="1012">
        <v>40000</v>
      </c>
      <c r="P82" s="187">
        <f t="shared" si="3"/>
        <v>80000</v>
      </c>
      <c r="Q82" s="339"/>
      <c r="R82" s="339"/>
      <c r="S82" s="72"/>
    </row>
    <row r="83" spans="1:19" ht="17.25" customHeight="1">
      <c r="A83" s="302"/>
      <c r="B83" s="302"/>
      <c r="C83" s="1123" t="s">
        <v>1165</v>
      </c>
      <c r="D83" s="72"/>
      <c r="E83" s="72"/>
      <c r="F83" s="72"/>
      <c r="G83" s="72"/>
      <c r="H83" s="72"/>
      <c r="I83" s="72"/>
      <c r="J83" s="72"/>
      <c r="K83" s="72"/>
      <c r="L83" s="74">
        <v>4</v>
      </c>
      <c r="M83" s="74"/>
      <c r="N83" s="74">
        <v>4</v>
      </c>
      <c r="O83" s="1012">
        <v>1200</v>
      </c>
      <c r="P83" s="187">
        <f t="shared" si="3"/>
        <v>19200</v>
      </c>
      <c r="Q83" s="328"/>
      <c r="R83" s="992"/>
      <c r="S83" s="72"/>
    </row>
    <row r="84" spans="1:19" ht="17.25" customHeight="1">
      <c r="A84" s="302"/>
      <c r="B84" s="302"/>
      <c r="C84" s="1123" t="s">
        <v>1166</v>
      </c>
      <c r="D84" s="72"/>
      <c r="E84" s="72"/>
      <c r="F84" s="72"/>
      <c r="G84" s="72"/>
      <c r="H84" s="72"/>
      <c r="I84" s="72"/>
      <c r="J84" s="72"/>
      <c r="K84" s="72"/>
      <c r="L84" s="74">
        <v>30</v>
      </c>
      <c r="M84" s="74"/>
      <c r="N84" s="74">
        <v>1</v>
      </c>
      <c r="O84" s="1012">
        <v>1200</v>
      </c>
      <c r="P84" s="187">
        <f t="shared" si="3"/>
        <v>36000</v>
      </c>
      <c r="Q84" s="327"/>
      <c r="R84" s="327"/>
      <c r="S84" s="72"/>
    </row>
    <row r="85" spans="1:19" ht="17.25" customHeight="1">
      <c r="A85" s="302"/>
      <c r="B85" s="302"/>
      <c r="C85" s="1123" t="s">
        <v>1167</v>
      </c>
      <c r="D85" s="72"/>
      <c r="E85" s="72"/>
      <c r="F85" s="72"/>
      <c r="G85" s="72"/>
      <c r="H85" s="72"/>
      <c r="I85" s="72"/>
      <c r="J85" s="72"/>
      <c r="K85" s="72"/>
      <c r="L85" s="74">
        <v>3</v>
      </c>
      <c r="M85" s="74"/>
      <c r="N85" s="74">
        <v>2</v>
      </c>
      <c r="O85" s="1012">
        <v>300</v>
      </c>
      <c r="P85" s="187">
        <f t="shared" si="3"/>
        <v>1800</v>
      </c>
      <c r="Q85" s="336"/>
      <c r="R85" s="336"/>
      <c r="S85" s="72"/>
    </row>
    <row r="86" spans="1:19" ht="17.25" customHeight="1">
      <c r="A86" s="302"/>
      <c r="B86" s="302"/>
      <c r="C86" s="1123" t="s">
        <v>1149</v>
      </c>
      <c r="D86" s="72"/>
      <c r="E86" s="72"/>
      <c r="F86" s="72"/>
      <c r="G86" s="72"/>
      <c r="H86" s="72"/>
      <c r="I86" s="72"/>
      <c r="J86" s="72"/>
      <c r="K86" s="72"/>
      <c r="L86" s="74"/>
      <c r="M86" s="74"/>
      <c r="N86" s="74"/>
      <c r="O86" s="1012">
        <v>5000</v>
      </c>
      <c r="P86" s="187">
        <f>O86</f>
        <v>5000</v>
      </c>
      <c r="Q86" s="328"/>
      <c r="R86" s="328"/>
      <c r="S86" s="72"/>
    </row>
    <row r="87" spans="1:19" ht="17.25" customHeight="1">
      <c r="A87" s="302"/>
      <c r="B87" s="302"/>
      <c r="C87" s="1123" t="s">
        <v>1168</v>
      </c>
      <c r="D87" s="72"/>
      <c r="E87" s="72"/>
      <c r="F87" s="72"/>
      <c r="G87" s="72"/>
      <c r="H87" s="72"/>
      <c r="I87" s="72"/>
      <c r="J87" s="72"/>
      <c r="K87" s="72"/>
      <c r="L87" s="74"/>
      <c r="M87" s="74"/>
      <c r="N87" s="74"/>
      <c r="O87" s="1012"/>
      <c r="P87" s="1014">
        <f>P88+P89+P90+P91+P92+P93+P94</f>
        <v>260300</v>
      </c>
      <c r="Q87" s="328"/>
      <c r="R87" s="328"/>
      <c r="S87" s="72"/>
    </row>
    <row r="88" spans="1:19" ht="17.25" customHeight="1">
      <c r="A88" s="302"/>
      <c r="B88" s="302"/>
      <c r="C88" s="1123" t="s">
        <v>1169</v>
      </c>
      <c r="D88" s="72"/>
      <c r="E88" s="72"/>
      <c r="F88" s="72"/>
      <c r="G88" s="72"/>
      <c r="H88" s="72"/>
      <c r="I88" s="72"/>
      <c r="J88" s="72"/>
      <c r="K88" s="72"/>
      <c r="L88" s="74">
        <v>200</v>
      </c>
      <c r="M88" s="74"/>
      <c r="N88" s="74"/>
      <c r="O88" s="1012">
        <v>70</v>
      </c>
      <c r="P88" s="187">
        <f>(O88*L88)</f>
        <v>14000</v>
      </c>
      <c r="Q88" s="328"/>
      <c r="R88" s="328"/>
      <c r="S88" s="72"/>
    </row>
    <row r="89" spans="1:19" ht="17.25" customHeight="1">
      <c r="A89" s="302"/>
      <c r="B89" s="302"/>
      <c r="C89" s="1123" t="s">
        <v>1170</v>
      </c>
      <c r="D89" s="72"/>
      <c r="E89" s="72"/>
      <c r="F89" s="72"/>
      <c r="G89" s="72"/>
      <c r="H89" s="72"/>
      <c r="I89" s="72"/>
      <c r="J89" s="72"/>
      <c r="K89" s="72"/>
      <c r="L89" s="74">
        <v>220</v>
      </c>
      <c r="M89" s="74"/>
      <c r="N89" s="74">
        <v>1</v>
      </c>
      <c r="O89" s="1012">
        <v>500</v>
      </c>
      <c r="P89" s="187">
        <f>(O89*N89*L89)</f>
        <v>110000</v>
      </c>
      <c r="Q89" s="328"/>
      <c r="R89" s="328"/>
      <c r="S89" s="72"/>
    </row>
    <row r="90" spans="1:19" ht="17.25" customHeight="1">
      <c r="A90" s="1096"/>
      <c r="B90" s="1096"/>
      <c r="C90" s="1123" t="s">
        <v>1171</v>
      </c>
      <c r="D90" s="72"/>
      <c r="E90" s="72"/>
      <c r="F90" s="72"/>
      <c r="G90" s="72"/>
      <c r="H90" s="72"/>
      <c r="I90" s="72"/>
      <c r="J90" s="72"/>
      <c r="K90" s="72"/>
      <c r="L90" s="74">
        <v>440</v>
      </c>
      <c r="M90" s="74"/>
      <c r="N90" s="74" t="s">
        <v>815</v>
      </c>
      <c r="O90" s="1012">
        <v>50</v>
      </c>
      <c r="P90" s="187">
        <f>(O90*L90)</f>
        <v>22000</v>
      </c>
      <c r="Q90" s="341"/>
      <c r="R90" s="341"/>
      <c r="S90" s="1019"/>
    </row>
    <row r="91" spans="1:19" ht="17.25" customHeight="1">
      <c r="A91" s="302"/>
      <c r="B91" s="302"/>
      <c r="C91" s="1123" t="s">
        <v>1172</v>
      </c>
      <c r="D91" s="72"/>
      <c r="E91" s="72"/>
      <c r="F91" s="72"/>
      <c r="G91" s="72"/>
      <c r="H91" s="72"/>
      <c r="I91" s="72"/>
      <c r="J91" s="72"/>
      <c r="K91" s="72"/>
      <c r="L91" s="74">
        <v>7</v>
      </c>
      <c r="M91" s="74"/>
      <c r="N91" s="74">
        <v>1</v>
      </c>
      <c r="O91" s="1012">
        <v>1200</v>
      </c>
      <c r="P91" s="187">
        <f>(O91*N91*L91)</f>
        <v>8400</v>
      </c>
      <c r="Q91" s="331"/>
      <c r="R91" s="331"/>
      <c r="S91" s="1013"/>
    </row>
    <row r="92" spans="1:19" ht="17.25" customHeight="1">
      <c r="A92" s="302"/>
      <c r="B92" s="302"/>
      <c r="C92" s="1123" t="s">
        <v>1173</v>
      </c>
      <c r="D92" s="72"/>
      <c r="E92" s="72"/>
      <c r="F92" s="72"/>
      <c r="G92" s="72"/>
      <c r="H92" s="72"/>
      <c r="I92" s="72"/>
      <c r="J92" s="72"/>
      <c r="K92" s="72"/>
      <c r="L92" s="74">
        <v>1</v>
      </c>
      <c r="M92" s="74"/>
      <c r="N92" s="74"/>
      <c r="O92" s="1012">
        <v>100000</v>
      </c>
      <c r="P92" s="187">
        <f>(O92*L92)</f>
        <v>100000</v>
      </c>
      <c r="Q92" s="331"/>
      <c r="R92" s="331"/>
      <c r="S92" s="1013"/>
    </row>
    <row r="93" spans="1:19" ht="17.25" customHeight="1">
      <c r="A93" s="302"/>
      <c r="B93" s="302"/>
      <c r="C93" s="1123" t="s">
        <v>1174</v>
      </c>
      <c r="D93" s="72"/>
      <c r="E93" s="72"/>
      <c r="F93" s="72"/>
      <c r="G93" s="72"/>
      <c r="H93" s="72"/>
      <c r="I93" s="72"/>
      <c r="J93" s="72"/>
      <c r="K93" s="72"/>
      <c r="L93" s="74">
        <v>3</v>
      </c>
      <c r="M93" s="74"/>
      <c r="N93" s="74">
        <v>1</v>
      </c>
      <c r="O93" s="1012">
        <v>300</v>
      </c>
      <c r="P93" s="187">
        <f>(O93*N93*L93)</f>
        <v>900</v>
      </c>
      <c r="Q93" s="342"/>
      <c r="R93" s="342"/>
      <c r="S93" s="1013"/>
    </row>
    <row r="94" spans="1:19" ht="17.25" customHeight="1">
      <c r="A94" s="302"/>
      <c r="B94" s="302"/>
      <c r="C94" s="1123" t="s">
        <v>1149</v>
      </c>
      <c r="D94" s="72"/>
      <c r="E94" s="72"/>
      <c r="F94" s="72"/>
      <c r="G94" s="72"/>
      <c r="H94" s="72"/>
      <c r="I94" s="72"/>
      <c r="J94" s="72"/>
      <c r="K94" s="72"/>
      <c r="L94" s="74"/>
      <c r="M94" s="74"/>
      <c r="N94" s="74"/>
      <c r="O94" s="1012">
        <v>5000</v>
      </c>
      <c r="P94" s="187">
        <f>O94</f>
        <v>5000</v>
      </c>
      <c r="Q94" s="332"/>
      <c r="R94" s="332"/>
      <c r="S94" s="1013"/>
    </row>
    <row r="95" spans="1:19" ht="17.25" customHeight="1">
      <c r="A95" s="302"/>
      <c r="B95" s="302"/>
      <c r="C95" s="1123" t="s">
        <v>1175</v>
      </c>
      <c r="D95" s="72"/>
      <c r="E95" s="72"/>
      <c r="F95" s="72"/>
      <c r="G95" s="72"/>
      <c r="H95" s="72"/>
      <c r="I95" s="72"/>
      <c r="J95" s="72"/>
      <c r="K95" s="72"/>
      <c r="L95" s="74"/>
      <c r="M95" s="74"/>
      <c r="N95" s="74"/>
      <c r="O95" s="1012">
        <v>150000</v>
      </c>
      <c r="P95" s="1014">
        <f>O95</f>
        <v>150000</v>
      </c>
      <c r="Q95" s="995"/>
      <c r="R95" s="995"/>
      <c r="S95" s="1013"/>
    </row>
    <row r="96" spans="1:19" ht="17.25" customHeight="1">
      <c r="A96" s="302"/>
      <c r="B96" s="302"/>
      <c r="C96" s="1134" t="s">
        <v>1176</v>
      </c>
      <c r="D96" s="108"/>
      <c r="E96" s="108"/>
      <c r="F96" s="108"/>
      <c r="G96" s="108"/>
      <c r="H96" s="108"/>
      <c r="I96" s="108"/>
      <c r="J96" s="108"/>
      <c r="K96" s="108"/>
      <c r="L96" s="107"/>
      <c r="M96" s="107"/>
      <c r="N96" s="107"/>
      <c r="O96" s="1017"/>
      <c r="P96" s="1018">
        <f>SUM(P97:P101)</f>
        <v>38800</v>
      </c>
      <c r="Q96" s="343"/>
      <c r="R96" s="327"/>
      <c r="S96" s="72"/>
    </row>
    <row r="97" spans="1:19" ht="17.25" customHeight="1">
      <c r="A97" s="302"/>
      <c r="B97" s="302"/>
      <c r="C97" s="1123" t="s">
        <v>1177</v>
      </c>
      <c r="D97" s="72"/>
      <c r="E97" s="72"/>
      <c r="F97" s="72"/>
      <c r="G97" s="72"/>
      <c r="H97" s="72"/>
      <c r="I97" s="74"/>
      <c r="J97" s="74"/>
      <c r="K97" s="72"/>
      <c r="L97" s="74"/>
      <c r="M97" s="74"/>
      <c r="N97" s="74">
        <v>8</v>
      </c>
      <c r="O97" s="186">
        <v>500</v>
      </c>
      <c r="P97" s="110">
        <f>O97*N97</f>
        <v>4000</v>
      </c>
      <c r="Q97" s="328"/>
      <c r="R97" s="328"/>
      <c r="S97" s="72"/>
    </row>
    <row r="98" spans="1:19" ht="17.25" customHeight="1">
      <c r="A98" s="302"/>
      <c r="B98" s="302"/>
      <c r="C98" s="1123" t="s">
        <v>1178</v>
      </c>
      <c r="D98" s="72"/>
      <c r="E98" s="72"/>
      <c r="F98" s="72"/>
      <c r="G98" s="72"/>
      <c r="H98" s="72"/>
      <c r="I98" s="74"/>
      <c r="J98" s="74"/>
      <c r="K98" s="72"/>
      <c r="L98" s="74"/>
      <c r="M98" s="74"/>
      <c r="N98" s="74">
        <v>8</v>
      </c>
      <c r="O98" s="186">
        <v>600</v>
      </c>
      <c r="P98" s="110">
        <f>O98*N98</f>
        <v>4800</v>
      </c>
      <c r="Q98" s="328"/>
      <c r="R98" s="328"/>
      <c r="S98" s="387"/>
    </row>
    <row r="99" spans="1:19" ht="17.25" customHeight="1">
      <c r="A99" s="302"/>
      <c r="B99" s="302"/>
      <c r="C99" s="1123" t="s">
        <v>1179</v>
      </c>
      <c r="D99" s="72"/>
      <c r="E99" s="72"/>
      <c r="F99" s="72"/>
      <c r="G99" s="72"/>
      <c r="H99" s="72"/>
      <c r="I99" s="74"/>
      <c r="J99" s="74"/>
      <c r="K99" s="72"/>
      <c r="L99" s="74"/>
      <c r="M99" s="74"/>
      <c r="N99" s="74">
        <v>8</v>
      </c>
      <c r="O99" s="186">
        <v>1000</v>
      </c>
      <c r="P99" s="110">
        <f>O99*N99</f>
        <v>8000</v>
      </c>
      <c r="Q99" s="339"/>
      <c r="R99" s="339"/>
    </row>
    <row r="100" spans="1:19" ht="17.25" customHeight="1">
      <c r="A100" s="302"/>
      <c r="B100" s="302"/>
      <c r="C100" s="1123" t="s">
        <v>166</v>
      </c>
      <c r="D100" s="72"/>
      <c r="E100" s="72"/>
      <c r="F100" s="72"/>
      <c r="G100" s="72"/>
      <c r="H100" s="72"/>
      <c r="I100" s="74"/>
      <c r="J100" s="74"/>
      <c r="K100" s="72"/>
      <c r="L100" s="74"/>
      <c r="M100" s="74"/>
      <c r="N100" s="74">
        <v>8</v>
      </c>
      <c r="O100" s="186">
        <v>1500</v>
      </c>
      <c r="P100" s="110">
        <f>O100*N100</f>
        <v>12000</v>
      </c>
      <c r="Q100" s="328"/>
      <c r="R100" s="328"/>
      <c r="S100" s="72"/>
    </row>
    <row r="101" spans="1:19" ht="17.25" customHeight="1">
      <c r="A101" s="302"/>
      <c r="B101" s="302"/>
      <c r="C101" s="1123" t="s">
        <v>1180</v>
      </c>
      <c r="D101" s="72"/>
      <c r="E101" s="72"/>
      <c r="F101" s="72"/>
      <c r="G101" s="72"/>
      <c r="H101" s="72"/>
      <c r="I101" s="74"/>
      <c r="J101" s="74"/>
      <c r="K101" s="72"/>
      <c r="L101" s="74"/>
      <c r="M101" s="74"/>
      <c r="N101" s="74">
        <v>20</v>
      </c>
      <c r="O101" s="186">
        <v>500</v>
      </c>
      <c r="P101" s="110">
        <f>O101*N101</f>
        <v>10000</v>
      </c>
      <c r="Q101" s="327"/>
      <c r="R101" s="327"/>
      <c r="S101" s="72"/>
    </row>
    <row r="102" spans="1:19" ht="17.25" customHeight="1">
      <c r="A102" s="302"/>
      <c r="B102" s="302"/>
      <c r="C102" s="1123"/>
      <c r="D102" s="72"/>
      <c r="E102" s="72"/>
      <c r="F102" s="72"/>
      <c r="G102" s="72"/>
      <c r="H102" s="72"/>
      <c r="I102" s="72"/>
      <c r="J102" s="72"/>
      <c r="K102" s="72"/>
      <c r="L102" s="74"/>
      <c r="M102" s="74"/>
      <c r="N102" s="74"/>
      <c r="O102" s="1012"/>
      <c r="P102" s="188"/>
      <c r="Q102" s="338"/>
      <c r="R102" s="338"/>
      <c r="S102" s="72"/>
    </row>
    <row r="103" spans="1:19" ht="17.25" customHeight="1">
      <c r="A103" s="302"/>
      <c r="B103" s="302"/>
      <c r="C103" s="1132" t="s">
        <v>1316</v>
      </c>
      <c r="D103" s="72"/>
      <c r="E103" s="72"/>
      <c r="F103" s="72"/>
      <c r="G103" s="72"/>
      <c r="H103" s="72"/>
      <c r="I103" s="72"/>
      <c r="J103" s="72"/>
      <c r="K103" s="72"/>
      <c r="L103" s="74"/>
      <c r="M103" s="74"/>
      <c r="N103" s="74"/>
      <c r="O103" s="1012"/>
      <c r="P103" s="188"/>
      <c r="Q103" s="327"/>
      <c r="R103" s="327"/>
      <c r="S103" s="72"/>
    </row>
    <row r="104" spans="1:19">
      <c r="A104" s="302"/>
      <c r="B104" s="302"/>
      <c r="C104" s="1135" t="s">
        <v>1315</v>
      </c>
      <c r="D104" s="114"/>
      <c r="E104" s="114"/>
      <c r="F104" s="114"/>
      <c r="G104" s="114"/>
      <c r="H104" s="114"/>
      <c r="I104" s="114"/>
      <c r="J104" s="114"/>
      <c r="K104" s="114"/>
      <c r="L104" s="1020"/>
      <c r="M104" s="1020"/>
      <c r="N104" s="1020"/>
      <c r="O104" s="1021"/>
      <c r="P104" s="1071">
        <f>P105+P169+P192</f>
        <v>16204790</v>
      </c>
      <c r="Q104" s="328"/>
      <c r="R104" s="328"/>
      <c r="S104" s="72"/>
    </row>
    <row r="105" spans="1:19">
      <c r="A105" s="302"/>
      <c r="B105" s="302"/>
      <c r="C105" s="1136" t="s">
        <v>1317</v>
      </c>
      <c r="D105" s="72"/>
      <c r="E105" s="72"/>
      <c r="F105" s="72"/>
      <c r="G105" s="72"/>
      <c r="H105" s="72"/>
      <c r="I105" s="948"/>
      <c r="J105" s="72"/>
      <c r="K105" s="72"/>
      <c r="L105" s="74"/>
      <c r="M105" s="181"/>
      <c r="N105" s="181"/>
      <c r="O105" s="950"/>
      <c r="P105" s="1022">
        <f>P106+P114+P122+P132+P138+P144+P153+P159</f>
        <v>4158150</v>
      </c>
      <c r="Q105" s="328"/>
      <c r="R105" s="328"/>
      <c r="S105" s="72"/>
    </row>
    <row r="106" spans="1:19">
      <c r="A106" s="302"/>
      <c r="B106" s="302"/>
      <c r="C106" s="1137" t="s">
        <v>1406</v>
      </c>
      <c r="D106" s="72"/>
      <c r="E106" s="72"/>
      <c r="F106" s="72"/>
      <c r="G106" s="72"/>
      <c r="H106" s="72"/>
      <c r="I106" s="948"/>
      <c r="J106" s="72"/>
      <c r="K106" s="72"/>
      <c r="L106" s="74"/>
      <c r="M106" s="181"/>
      <c r="N106" s="181"/>
      <c r="O106" s="950"/>
      <c r="P106" s="1022">
        <f>SUM(P107:P112)</f>
        <v>196800</v>
      </c>
      <c r="Q106" s="339"/>
      <c r="R106" s="339"/>
      <c r="S106" s="72"/>
    </row>
    <row r="107" spans="1:19">
      <c r="A107" s="302"/>
      <c r="B107" s="302"/>
      <c r="C107" s="1138" t="s">
        <v>1181</v>
      </c>
      <c r="D107" s="72"/>
      <c r="E107" s="72"/>
      <c r="F107" s="72"/>
      <c r="G107" s="72"/>
      <c r="H107" s="72"/>
      <c r="I107" s="948"/>
      <c r="J107" s="72"/>
      <c r="K107" s="72"/>
      <c r="L107" s="74"/>
      <c r="M107" s="181">
        <v>4</v>
      </c>
      <c r="N107" s="181" t="s">
        <v>18</v>
      </c>
      <c r="O107" s="950">
        <v>10000</v>
      </c>
      <c r="P107" s="1022">
        <f>M107*O107</f>
        <v>40000</v>
      </c>
      <c r="Q107" s="328"/>
      <c r="R107" s="328"/>
      <c r="S107" s="72"/>
    </row>
    <row r="108" spans="1:19">
      <c r="A108" s="302"/>
      <c r="B108" s="302"/>
      <c r="C108" s="1138" t="s">
        <v>1182</v>
      </c>
      <c r="D108" s="72"/>
      <c r="E108" s="72"/>
      <c r="F108" s="72"/>
      <c r="G108" s="72"/>
      <c r="H108" s="72"/>
      <c r="I108" s="948"/>
      <c r="J108" s="72"/>
      <c r="K108" s="72"/>
      <c r="L108" s="74"/>
      <c r="M108" s="181">
        <v>200</v>
      </c>
      <c r="N108" s="181" t="s">
        <v>17</v>
      </c>
      <c r="O108" s="950">
        <v>500</v>
      </c>
      <c r="P108" s="1022">
        <f>O108*M108</f>
        <v>100000</v>
      </c>
      <c r="Q108" s="327"/>
      <c r="R108" s="327"/>
      <c r="S108" s="143"/>
    </row>
    <row r="109" spans="1:19">
      <c r="A109" s="302"/>
      <c r="B109" s="302"/>
      <c r="C109" s="1138" t="s">
        <v>1183</v>
      </c>
      <c r="D109" s="72"/>
      <c r="E109" s="72"/>
      <c r="F109" s="72"/>
      <c r="G109" s="72"/>
      <c r="H109" s="72"/>
      <c r="I109" s="948"/>
      <c r="J109" s="72"/>
      <c r="K109" s="72"/>
      <c r="L109" s="74"/>
      <c r="M109" s="181">
        <v>400</v>
      </c>
      <c r="N109" s="181" t="s">
        <v>17</v>
      </c>
      <c r="O109" s="950">
        <v>50</v>
      </c>
      <c r="P109" s="1022">
        <f>O109*M109</f>
        <v>20000</v>
      </c>
      <c r="Q109" s="336"/>
      <c r="R109" s="336"/>
      <c r="S109" s="72"/>
    </row>
    <row r="110" spans="1:19">
      <c r="A110" s="302"/>
      <c r="B110" s="302"/>
      <c r="C110" s="1138" t="s">
        <v>1184</v>
      </c>
      <c r="D110" s="72"/>
      <c r="E110" s="72"/>
      <c r="F110" s="72"/>
      <c r="G110" s="72"/>
      <c r="H110" s="72"/>
      <c r="I110" s="948"/>
      <c r="J110" s="72"/>
      <c r="K110" s="72"/>
      <c r="L110" s="74"/>
      <c r="M110" s="181">
        <v>3</v>
      </c>
      <c r="N110" s="181" t="s">
        <v>517</v>
      </c>
      <c r="O110" s="950">
        <v>1200</v>
      </c>
      <c r="P110" s="1022">
        <f>O110*M110</f>
        <v>3600</v>
      </c>
      <c r="Q110" s="327"/>
      <c r="R110" s="327"/>
      <c r="S110" s="72"/>
    </row>
    <row r="111" spans="1:19">
      <c r="A111" s="302"/>
      <c r="B111" s="302"/>
      <c r="C111" s="1138" t="s">
        <v>1185</v>
      </c>
      <c r="D111" s="72"/>
      <c r="E111" s="72"/>
      <c r="F111" s="72"/>
      <c r="G111" s="72"/>
      <c r="H111" s="72"/>
      <c r="I111" s="948"/>
      <c r="J111" s="72"/>
      <c r="K111" s="72"/>
      <c r="L111" s="74"/>
      <c r="M111" s="181">
        <v>16</v>
      </c>
      <c r="N111" s="181" t="s">
        <v>517</v>
      </c>
      <c r="O111" s="950">
        <v>1200</v>
      </c>
      <c r="P111" s="1022">
        <f>O111*M111</f>
        <v>19200</v>
      </c>
      <c r="Q111" s="328"/>
      <c r="R111" s="328"/>
      <c r="S111" s="72"/>
    </row>
    <row r="112" spans="1:19">
      <c r="A112" s="302"/>
      <c r="B112" s="302"/>
      <c r="C112" s="1138" t="s">
        <v>1186</v>
      </c>
      <c r="D112" s="72"/>
      <c r="E112" s="72"/>
      <c r="F112" s="72"/>
      <c r="G112" s="72"/>
      <c r="H112" s="72"/>
      <c r="I112" s="948"/>
      <c r="J112" s="72"/>
      <c r="K112" s="72"/>
      <c r="L112" s="74"/>
      <c r="M112" s="181">
        <v>200</v>
      </c>
      <c r="N112" s="181" t="s">
        <v>19</v>
      </c>
      <c r="O112" s="950">
        <v>70</v>
      </c>
      <c r="P112" s="1022">
        <f>O112*M112</f>
        <v>14000</v>
      </c>
      <c r="Q112" s="328"/>
      <c r="R112" s="328"/>
      <c r="S112" s="72"/>
    </row>
    <row r="113" spans="1:19">
      <c r="A113" s="302"/>
      <c r="B113" s="302"/>
      <c r="C113" s="1138"/>
      <c r="D113" s="72"/>
      <c r="E113" s="72"/>
      <c r="F113" s="72"/>
      <c r="G113" s="72"/>
      <c r="H113" s="72"/>
      <c r="I113" s="948"/>
      <c r="J113" s="72"/>
      <c r="K113" s="72"/>
      <c r="L113" s="74"/>
      <c r="M113" s="181"/>
      <c r="N113" s="181"/>
      <c r="O113" s="950"/>
      <c r="P113" s="950"/>
      <c r="Q113" s="328"/>
      <c r="R113" s="328"/>
      <c r="S113" s="1025"/>
    </row>
    <row r="114" spans="1:19" s="283" customFormat="1">
      <c r="A114" s="302"/>
      <c r="B114" s="302"/>
      <c r="C114" s="1139" t="s">
        <v>1407</v>
      </c>
      <c r="D114" s="936"/>
      <c r="E114" s="936"/>
      <c r="F114" s="936"/>
      <c r="G114" s="936"/>
      <c r="H114" s="936"/>
      <c r="I114" s="937"/>
      <c r="J114" s="936"/>
      <c r="K114" s="936"/>
      <c r="L114" s="124"/>
      <c r="M114" s="144"/>
      <c r="N114" s="144"/>
      <c r="O114" s="1023"/>
      <c r="P114" s="1024">
        <f>SUM(P115:P120)</f>
        <v>196800</v>
      </c>
      <c r="Q114" s="327"/>
      <c r="R114" s="327"/>
      <c r="S114" s="141"/>
    </row>
    <row r="115" spans="1:19">
      <c r="A115" s="302"/>
      <c r="B115" s="302"/>
      <c r="C115" s="1138" t="s">
        <v>1181</v>
      </c>
      <c r="D115" s="72"/>
      <c r="E115" s="72"/>
      <c r="F115" s="72"/>
      <c r="G115" s="72"/>
      <c r="H115" s="72"/>
      <c r="I115" s="948"/>
      <c r="J115" s="72"/>
      <c r="K115" s="72"/>
      <c r="L115" s="74"/>
      <c r="M115" s="181">
        <v>4</v>
      </c>
      <c r="N115" s="181" t="s">
        <v>18</v>
      </c>
      <c r="O115" s="950">
        <v>10000</v>
      </c>
      <c r="P115" s="1022">
        <f>O115*M115</f>
        <v>40000</v>
      </c>
      <c r="Q115" s="336"/>
      <c r="R115" s="336"/>
      <c r="S115" s="387"/>
    </row>
    <row r="116" spans="1:19">
      <c r="A116" s="302"/>
      <c r="B116" s="302"/>
      <c r="C116" s="1138" t="s">
        <v>1182</v>
      </c>
      <c r="D116" s="72"/>
      <c r="E116" s="72"/>
      <c r="F116" s="72"/>
      <c r="G116" s="72"/>
      <c r="H116" s="72"/>
      <c r="I116" s="948"/>
      <c r="J116" s="72"/>
      <c r="K116" s="72"/>
      <c r="L116" s="74"/>
      <c r="M116" s="181">
        <v>200</v>
      </c>
      <c r="N116" s="181" t="s">
        <v>17</v>
      </c>
      <c r="O116" s="950">
        <v>500</v>
      </c>
      <c r="P116" s="1022">
        <f>O116*M116</f>
        <v>100000</v>
      </c>
      <c r="Q116" s="327"/>
      <c r="R116" s="327"/>
      <c r="S116" s="141"/>
    </row>
    <row r="117" spans="1:19">
      <c r="A117" s="302"/>
      <c r="B117" s="302"/>
      <c r="C117" s="1138" t="s">
        <v>1183</v>
      </c>
      <c r="D117" s="72"/>
      <c r="E117" s="72"/>
      <c r="F117" s="72"/>
      <c r="G117" s="72"/>
      <c r="H117" s="72"/>
      <c r="I117" s="948"/>
      <c r="J117" s="72"/>
      <c r="K117" s="72"/>
      <c r="L117" s="74"/>
      <c r="M117" s="181">
        <v>400</v>
      </c>
      <c r="N117" s="181" t="s">
        <v>17</v>
      </c>
      <c r="O117" s="950">
        <v>50</v>
      </c>
      <c r="P117" s="1022">
        <f>O117*M117</f>
        <v>20000</v>
      </c>
      <c r="Q117" s="328"/>
      <c r="R117" s="328"/>
      <c r="S117" s="141"/>
    </row>
    <row r="118" spans="1:19">
      <c r="A118" s="1096"/>
      <c r="B118" s="1096"/>
      <c r="C118" s="1138" t="s">
        <v>1184</v>
      </c>
      <c r="D118" s="72"/>
      <c r="E118" s="72"/>
      <c r="F118" s="72"/>
      <c r="G118" s="72"/>
      <c r="H118" s="72"/>
      <c r="I118" s="948"/>
      <c r="J118" s="72"/>
      <c r="K118" s="72"/>
      <c r="L118" s="74"/>
      <c r="M118" s="181">
        <v>3</v>
      </c>
      <c r="N118" s="181" t="s">
        <v>517</v>
      </c>
      <c r="O118" s="950">
        <v>1200</v>
      </c>
      <c r="P118" s="1022">
        <f>O118*M118</f>
        <v>3600</v>
      </c>
      <c r="Q118" s="328"/>
      <c r="R118" s="328"/>
    </row>
    <row r="119" spans="1:19" ht="25.5" customHeight="1">
      <c r="A119" s="302"/>
      <c r="B119" s="302"/>
      <c r="C119" s="1138" t="s">
        <v>1185</v>
      </c>
      <c r="D119" s="72"/>
      <c r="E119" s="72"/>
      <c r="F119" s="72"/>
      <c r="G119" s="72"/>
      <c r="H119" s="72"/>
      <c r="I119" s="948"/>
      <c r="J119" s="72"/>
      <c r="K119" s="72"/>
      <c r="L119" s="74"/>
      <c r="M119" s="181">
        <v>16</v>
      </c>
      <c r="N119" s="181" t="s">
        <v>517</v>
      </c>
      <c r="O119" s="950">
        <v>1200</v>
      </c>
      <c r="P119" s="1022">
        <f t="shared" ref="P119" si="4">O119*M119</f>
        <v>19200</v>
      </c>
      <c r="Q119" s="327"/>
      <c r="R119" s="327"/>
      <c r="S119" s="141"/>
    </row>
    <row r="120" spans="1:19">
      <c r="A120" s="302"/>
      <c r="B120" s="302"/>
      <c r="C120" s="1138" t="s">
        <v>1186</v>
      </c>
      <c r="D120" s="72"/>
      <c r="E120" s="72"/>
      <c r="F120" s="72"/>
      <c r="G120" s="72"/>
      <c r="H120" s="72"/>
      <c r="I120" s="948"/>
      <c r="J120" s="72"/>
      <c r="K120" s="72"/>
      <c r="L120" s="74"/>
      <c r="M120" s="181">
        <v>200</v>
      </c>
      <c r="N120" s="181" t="s">
        <v>19</v>
      </c>
      <c r="O120" s="950">
        <v>70</v>
      </c>
      <c r="P120" s="1022">
        <f>O120*M120</f>
        <v>14000</v>
      </c>
      <c r="Q120" s="336"/>
      <c r="R120" s="336"/>
      <c r="S120" s="141"/>
    </row>
    <row r="121" spans="1:19">
      <c r="A121" s="302"/>
      <c r="B121" s="302"/>
      <c r="C121" s="1138"/>
      <c r="D121" s="72"/>
      <c r="E121" s="72"/>
      <c r="F121" s="72"/>
      <c r="G121" s="72"/>
      <c r="H121" s="72"/>
      <c r="I121" s="948"/>
      <c r="J121" s="72"/>
      <c r="K121" s="72"/>
      <c r="L121" s="74"/>
      <c r="M121" s="181"/>
      <c r="N121" s="181"/>
      <c r="O121" s="950"/>
      <c r="P121" s="950"/>
      <c r="Q121" s="328"/>
      <c r="R121" s="328"/>
      <c r="S121" s="141"/>
    </row>
    <row r="122" spans="1:19">
      <c r="A122" s="302"/>
      <c r="B122" s="302"/>
      <c r="C122" s="1137" t="s">
        <v>1408</v>
      </c>
      <c r="D122" s="72"/>
      <c r="E122" s="72"/>
      <c r="F122" s="72"/>
      <c r="G122" s="72"/>
      <c r="H122" s="72"/>
      <c r="I122" s="948"/>
      <c r="J122" s="72"/>
      <c r="K122" s="72"/>
      <c r="L122" s="74"/>
      <c r="M122" s="181"/>
      <c r="N122" s="181"/>
      <c r="O122" s="950"/>
      <c r="P122" s="1022">
        <f>SUM(P123:P130)</f>
        <v>348700</v>
      </c>
      <c r="Q122" s="328"/>
      <c r="R122" s="328"/>
      <c r="S122" s="1025"/>
    </row>
    <row r="123" spans="1:19">
      <c r="A123" s="302"/>
      <c r="B123" s="302"/>
      <c r="C123" s="1138" t="s">
        <v>1187</v>
      </c>
      <c r="D123" s="72"/>
      <c r="E123" s="72"/>
      <c r="F123" s="72"/>
      <c r="G123" s="72"/>
      <c r="H123" s="72"/>
      <c r="I123" s="948"/>
      <c r="J123" s="72"/>
      <c r="K123" s="72"/>
      <c r="L123" s="74"/>
      <c r="M123" s="181">
        <v>100</v>
      </c>
      <c r="N123" s="181" t="s">
        <v>17</v>
      </c>
      <c r="O123" s="950">
        <v>500</v>
      </c>
      <c r="P123" s="1022">
        <f>O123*M123</f>
        <v>50000</v>
      </c>
      <c r="Q123" s="338"/>
      <c r="R123" s="338"/>
      <c r="S123" s="141"/>
    </row>
    <row r="124" spans="1:19">
      <c r="A124" s="302"/>
      <c r="B124" s="302"/>
      <c r="C124" s="1138" t="s">
        <v>1188</v>
      </c>
      <c r="D124" s="72"/>
      <c r="E124" s="72"/>
      <c r="F124" s="72"/>
      <c r="G124" s="72"/>
      <c r="H124" s="72"/>
      <c r="I124" s="948"/>
      <c r="J124" s="72"/>
      <c r="K124" s="72"/>
      <c r="L124" s="74"/>
      <c r="M124" s="181">
        <v>100</v>
      </c>
      <c r="N124" s="181" t="s">
        <v>17</v>
      </c>
      <c r="O124" s="950">
        <v>800</v>
      </c>
      <c r="P124" s="1022">
        <f>O124*M124</f>
        <v>80000</v>
      </c>
      <c r="Q124" s="327"/>
      <c r="R124" s="327"/>
      <c r="S124" s="141"/>
    </row>
    <row r="125" spans="1:19">
      <c r="A125" s="302"/>
      <c r="B125" s="302"/>
      <c r="C125" s="1138" t="s">
        <v>1189</v>
      </c>
      <c r="D125" s="72"/>
      <c r="E125" s="72"/>
      <c r="F125" s="72"/>
      <c r="G125" s="72"/>
      <c r="H125" s="72"/>
      <c r="I125" s="948"/>
      <c r="J125" s="72"/>
      <c r="K125" s="72"/>
      <c r="L125" s="74"/>
      <c r="M125" s="181">
        <v>400</v>
      </c>
      <c r="N125" s="181" t="s">
        <v>17</v>
      </c>
      <c r="O125" s="950">
        <v>50</v>
      </c>
      <c r="P125" s="1022">
        <f t="shared" ref="P125:P128" si="5">O125*M125</f>
        <v>20000</v>
      </c>
      <c r="Q125" s="328"/>
      <c r="R125" s="328"/>
      <c r="S125" s="141"/>
    </row>
    <row r="126" spans="1:19">
      <c r="A126" s="302"/>
      <c r="B126" s="302"/>
      <c r="C126" s="1138" t="s">
        <v>1190</v>
      </c>
      <c r="D126" s="72"/>
      <c r="E126" s="72"/>
      <c r="F126" s="72"/>
      <c r="G126" s="72"/>
      <c r="H126" s="72"/>
      <c r="I126" s="948"/>
      <c r="J126" s="72"/>
      <c r="K126" s="72"/>
      <c r="L126" s="74"/>
      <c r="M126" s="181">
        <v>200</v>
      </c>
      <c r="N126" s="181" t="s">
        <v>19</v>
      </c>
      <c r="O126" s="950">
        <v>70</v>
      </c>
      <c r="P126" s="1022">
        <f>O126*M126</f>
        <v>14000</v>
      </c>
      <c r="Q126" s="328"/>
      <c r="R126" s="328"/>
      <c r="S126" s="141"/>
    </row>
    <row r="127" spans="1:19">
      <c r="A127" s="302"/>
      <c r="B127" s="302"/>
      <c r="C127" s="1138" t="s">
        <v>1191</v>
      </c>
      <c r="D127" s="72"/>
      <c r="E127" s="72"/>
      <c r="F127" s="72"/>
      <c r="G127" s="72"/>
      <c r="H127" s="72"/>
      <c r="I127" s="948"/>
      <c r="J127" s="72"/>
      <c r="K127" s="72"/>
      <c r="L127" s="74"/>
      <c r="M127" s="181">
        <v>16</v>
      </c>
      <c r="N127" s="181" t="s">
        <v>33</v>
      </c>
      <c r="O127" s="950">
        <v>2500</v>
      </c>
      <c r="P127" s="1022">
        <f>O127*M127</f>
        <v>40000</v>
      </c>
      <c r="Q127" s="339"/>
      <c r="R127" s="339"/>
      <c r="S127" s="141"/>
    </row>
    <row r="128" spans="1:19">
      <c r="A128" s="302"/>
      <c r="B128" s="302"/>
      <c r="C128" s="1138" t="s">
        <v>1192</v>
      </c>
      <c r="D128" s="72"/>
      <c r="E128" s="72"/>
      <c r="F128" s="72"/>
      <c r="G128" s="72"/>
      <c r="H128" s="72"/>
      <c r="I128" s="948"/>
      <c r="J128" s="72"/>
      <c r="K128" s="72"/>
      <c r="L128" s="74"/>
      <c r="M128" s="181">
        <v>56</v>
      </c>
      <c r="N128" s="181" t="s">
        <v>517</v>
      </c>
      <c r="O128" s="950">
        <v>1200</v>
      </c>
      <c r="P128" s="1022">
        <f t="shared" si="5"/>
        <v>67200</v>
      </c>
      <c r="Q128" s="328"/>
      <c r="R128" s="328"/>
      <c r="S128" s="141"/>
    </row>
    <row r="129" spans="1:19">
      <c r="A129" s="302"/>
      <c r="B129" s="302"/>
      <c r="C129" s="1138" t="s">
        <v>1193</v>
      </c>
      <c r="D129" s="72"/>
      <c r="E129" s="72"/>
      <c r="F129" s="72"/>
      <c r="G129" s="72"/>
      <c r="H129" s="72"/>
      <c r="I129" s="948"/>
      <c r="J129" s="72"/>
      <c r="K129" s="72"/>
      <c r="L129" s="74"/>
      <c r="M129" s="181">
        <v>50</v>
      </c>
      <c r="N129" s="181" t="s">
        <v>25</v>
      </c>
      <c r="O129" s="950">
        <v>750</v>
      </c>
      <c r="P129" s="1022">
        <f>O129*M129</f>
        <v>37500</v>
      </c>
      <c r="Q129" s="327"/>
      <c r="R129" s="327"/>
      <c r="S129" s="141"/>
    </row>
    <row r="130" spans="1:19">
      <c r="A130" s="1154"/>
      <c r="B130" s="299"/>
      <c r="C130" s="1138" t="s">
        <v>1181</v>
      </c>
      <c r="D130" s="72"/>
      <c r="E130" s="72"/>
      <c r="F130" s="72"/>
      <c r="G130" s="72"/>
      <c r="H130" s="72"/>
      <c r="I130" s="948"/>
      <c r="J130" s="72"/>
      <c r="K130" s="72"/>
      <c r="L130" s="74"/>
      <c r="M130" s="181">
        <v>4</v>
      </c>
      <c r="N130" s="181" t="s">
        <v>18</v>
      </c>
      <c r="O130" s="950">
        <v>10000</v>
      </c>
      <c r="P130" s="1022">
        <f>O130*M130</f>
        <v>40000</v>
      </c>
      <c r="Q130" s="336"/>
      <c r="R130" s="336"/>
      <c r="S130" s="141"/>
    </row>
    <row r="131" spans="1:19">
      <c r="A131" s="1124"/>
      <c r="B131" s="302"/>
      <c r="C131" s="1138"/>
      <c r="D131" s="72"/>
      <c r="E131" s="72"/>
      <c r="F131" s="72"/>
      <c r="G131" s="72"/>
      <c r="H131" s="72"/>
      <c r="I131" s="948"/>
      <c r="J131" s="72"/>
      <c r="K131" s="72"/>
      <c r="L131" s="74"/>
      <c r="M131" s="181"/>
      <c r="N131" s="181"/>
      <c r="O131" s="950"/>
      <c r="P131" s="950"/>
      <c r="Q131" s="986"/>
      <c r="R131" s="986"/>
      <c r="S131" s="141"/>
    </row>
    <row r="132" spans="1:19">
      <c r="A132" s="302"/>
      <c r="B132" s="302"/>
      <c r="C132" s="1137" t="s">
        <v>1409</v>
      </c>
      <c r="D132" s="72"/>
      <c r="E132" s="72"/>
      <c r="F132" s="72"/>
      <c r="G132" s="72"/>
      <c r="H132" s="72"/>
      <c r="I132" s="948"/>
      <c r="J132" s="72"/>
      <c r="K132" s="72"/>
      <c r="L132" s="74"/>
      <c r="M132" s="181"/>
      <c r="N132" s="181"/>
      <c r="O132" s="950"/>
      <c r="P132" s="1022">
        <f>SUM(P133:P136)</f>
        <v>2047000</v>
      </c>
      <c r="Q132" s="986"/>
      <c r="R132" s="986"/>
      <c r="S132" s="141"/>
    </row>
    <row r="133" spans="1:19">
      <c r="A133" s="302"/>
      <c r="B133" s="302"/>
      <c r="C133" s="1138" t="s">
        <v>1194</v>
      </c>
      <c r="D133" s="72"/>
      <c r="E133" s="72"/>
      <c r="F133" s="72"/>
      <c r="G133" s="72"/>
      <c r="H133" s="72"/>
      <c r="I133" s="948"/>
      <c r="J133" s="72"/>
      <c r="K133" s="72"/>
      <c r="L133" s="74"/>
      <c r="M133" s="181">
        <v>400</v>
      </c>
      <c r="N133" s="181" t="s">
        <v>33</v>
      </c>
      <c r="O133" s="950">
        <v>2500</v>
      </c>
      <c r="P133" s="1022">
        <f>O133*M133</f>
        <v>1000000</v>
      </c>
      <c r="Q133" s="986"/>
      <c r="R133" s="986"/>
      <c r="S133" s="141"/>
    </row>
    <row r="134" spans="1:19">
      <c r="A134" s="302"/>
      <c r="B134" s="302"/>
      <c r="C134" s="1138" t="s">
        <v>1195</v>
      </c>
      <c r="D134" s="72"/>
      <c r="E134" s="72"/>
      <c r="F134" s="72"/>
      <c r="G134" s="72"/>
      <c r="H134" s="72"/>
      <c r="I134" s="948"/>
      <c r="J134" s="72"/>
      <c r="K134" s="72"/>
      <c r="L134" s="74"/>
      <c r="M134" s="181">
        <v>112</v>
      </c>
      <c r="N134" s="181" t="s">
        <v>40</v>
      </c>
      <c r="O134" s="950">
        <v>5000</v>
      </c>
      <c r="P134" s="1022">
        <f>O134*M134</f>
        <v>560000</v>
      </c>
      <c r="Q134" s="986"/>
      <c r="R134" s="986"/>
      <c r="S134" s="141"/>
    </row>
    <row r="135" spans="1:19">
      <c r="A135" s="302"/>
      <c r="B135" s="302"/>
      <c r="C135" s="1138" t="s">
        <v>1196</v>
      </c>
      <c r="D135" s="72"/>
      <c r="E135" s="72"/>
      <c r="F135" s="72"/>
      <c r="G135" s="72"/>
      <c r="H135" s="72"/>
      <c r="I135" s="948"/>
      <c r="J135" s="72"/>
      <c r="K135" s="72"/>
      <c r="L135" s="74"/>
      <c r="M135" s="181">
        <v>400</v>
      </c>
      <c r="N135" s="181" t="s">
        <v>41</v>
      </c>
      <c r="O135" s="950">
        <v>1200</v>
      </c>
      <c r="P135" s="1022">
        <f>O135*M135</f>
        <v>480000</v>
      </c>
      <c r="Q135" s="996"/>
      <c r="R135" s="996"/>
      <c r="S135" s="141"/>
    </row>
    <row r="136" spans="1:19">
      <c r="A136" s="302"/>
      <c r="B136" s="302"/>
      <c r="C136" s="1138" t="s">
        <v>1197</v>
      </c>
      <c r="D136" s="72"/>
      <c r="E136" s="72"/>
      <c r="F136" s="72"/>
      <c r="G136" s="72"/>
      <c r="H136" s="72"/>
      <c r="I136" s="948"/>
      <c r="J136" s="72"/>
      <c r="K136" s="72"/>
      <c r="L136" s="74"/>
      <c r="M136" s="181">
        <v>100</v>
      </c>
      <c r="N136" s="181" t="s">
        <v>19</v>
      </c>
      <c r="O136" s="950">
        <v>70</v>
      </c>
      <c r="P136" s="1022">
        <f>O136*M136</f>
        <v>7000</v>
      </c>
      <c r="Q136" s="331"/>
      <c r="R136" s="331"/>
      <c r="S136" s="141"/>
    </row>
    <row r="137" spans="1:19">
      <c r="A137" s="302"/>
      <c r="B137" s="302"/>
      <c r="C137" s="1138"/>
      <c r="D137" s="72"/>
      <c r="E137" s="72"/>
      <c r="F137" s="72"/>
      <c r="G137" s="72"/>
      <c r="H137" s="72"/>
      <c r="I137" s="948"/>
      <c r="J137" s="72"/>
      <c r="K137" s="72"/>
      <c r="L137" s="74"/>
      <c r="M137" s="181"/>
      <c r="N137" s="181"/>
      <c r="O137" s="950"/>
      <c r="P137" s="950"/>
      <c r="Q137" s="331"/>
      <c r="R137" s="331"/>
      <c r="S137" s="141"/>
    </row>
    <row r="138" spans="1:19">
      <c r="A138" s="302"/>
      <c r="B138" s="302"/>
      <c r="C138" s="1137" t="s">
        <v>1410</v>
      </c>
      <c r="D138" s="72"/>
      <c r="E138" s="72"/>
      <c r="F138" s="72"/>
      <c r="G138" s="72"/>
      <c r="H138" s="72"/>
      <c r="I138" s="948"/>
      <c r="J138" s="72"/>
      <c r="K138" s="72"/>
      <c r="L138" s="74"/>
      <c r="M138" s="181"/>
      <c r="N138" s="181"/>
      <c r="O138" s="950"/>
      <c r="P138" s="1022">
        <f>SUM(P139:P142)</f>
        <v>907000</v>
      </c>
      <c r="Q138" s="331"/>
      <c r="R138" s="331"/>
      <c r="S138" s="141"/>
    </row>
    <row r="139" spans="1:19">
      <c r="A139" s="302"/>
      <c r="B139" s="302"/>
      <c r="C139" s="1138" t="s">
        <v>1198</v>
      </c>
      <c r="D139" s="72"/>
      <c r="E139" s="72"/>
      <c r="F139" s="72"/>
      <c r="G139" s="72"/>
      <c r="H139" s="72"/>
      <c r="I139" s="948"/>
      <c r="J139" s="72"/>
      <c r="K139" s="72"/>
      <c r="L139" s="74"/>
      <c r="M139" s="181">
        <v>200</v>
      </c>
      <c r="N139" s="181" t="s">
        <v>33</v>
      </c>
      <c r="O139" s="950">
        <v>2500</v>
      </c>
      <c r="P139" s="1022">
        <f>O139*M139</f>
        <v>500000</v>
      </c>
      <c r="Q139" s="332"/>
      <c r="R139" s="332"/>
      <c r="S139" s="141"/>
    </row>
    <row r="140" spans="1:19">
      <c r="A140" s="302"/>
      <c r="B140" s="302"/>
      <c r="C140" s="1138" t="s">
        <v>1199</v>
      </c>
      <c r="D140" s="72"/>
      <c r="E140" s="72"/>
      <c r="F140" s="72"/>
      <c r="G140" s="72"/>
      <c r="H140" s="72"/>
      <c r="I140" s="948"/>
      <c r="J140" s="72"/>
      <c r="K140" s="72"/>
      <c r="L140" s="74"/>
      <c r="M140" s="181">
        <v>56</v>
      </c>
      <c r="N140" s="181" t="s">
        <v>40</v>
      </c>
      <c r="O140" s="950">
        <v>5000</v>
      </c>
      <c r="P140" s="1022">
        <f>O140*M140</f>
        <v>280000</v>
      </c>
      <c r="Q140" s="995"/>
      <c r="R140" s="995"/>
      <c r="S140" s="141"/>
    </row>
    <row r="141" spans="1:19">
      <c r="A141" s="302"/>
      <c r="B141" s="302"/>
      <c r="C141" s="1138" t="s">
        <v>1200</v>
      </c>
      <c r="D141" s="72"/>
      <c r="E141" s="72"/>
      <c r="F141" s="72"/>
      <c r="G141" s="72"/>
      <c r="H141" s="72"/>
      <c r="I141" s="948"/>
      <c r="J141" s="72"/>
      <c r="K141" s="72"/>
      <c r="L141" s="74"/>
      <c r="M141" s="181">
        <v>100</v>
      </c>
      <c r="N141" s="181" t="s">
        <v>41</v>
      </c>
      <c r="O141" s="950">
        <v>1200</v>
      </c>
      <c r="P141" s="1022">
        <f>O141*M141</f>
        <v>120000</v>
      </c>
      <c r="Q141" s="343"/>
      <c r="R141" s="327"/>
      <c r="S141" s="141"/>
    </row>
    <row r="142" spans="1:19">
      <c r="A142" s="302"/>
      <c r="B142" s="302"/>
      <c r="C142" s="1138" t="s">
        <v>1197</v>
      </c>
      <c r="D142" s="72"/>
      <c r="E142" s="72"/>
      <c r="F142" s="72"/>
      <c r="G142" s="72"/>
      <c r="H142" s="72"/>
      <c r="I142" s="948"/>
      <c r="J142" s="72"/>
      <c r="K142" s="72"/>
      <c r="L142" s="74"/>
      <c r="M142" s="181">
        <v>100</v>
      </c>
      <c r="N142" s="181" t="s">
        <v>19</v>
      </c>
      <c r="O142" s="950">
        <v>70</v>
      </c>
      <c r="P142" s="1022">
        <f>O142*M142</f>
        <v>7000</v>
      </c>
      <c r="Q142" s="328"/>
      <c r="R142" s="328"/>
      <c r="S142" s="141"/>
    </row>
    <row r="143" spans="1:19">
      <c r="A143" s="302"/>
      <c r="B143" s="302"/>
      <c r="C143" s="1138"/>
      <c r="D143" s="72"/>
      <c r="E143" s="72"/>
      <c r="F143" s="72"/>
      <c r="G143" s="72"/>
      <c r="H143" s="72"/>
      <c r="I143" s="948"/>
      <c r="J143" s="72"/>
      <c r="K143" s="72"/>
      <c r="L143" s="74"/>
      <c r="M143" s="181"/>
      <c r="N143" s="181"/>
      <c r="O143" s="950"/>
      <c r="P143" s="950"/>
      <c r="Q143" s="328"/>
      <c r="R143" s="328"/>
      <c r="S143" s="141"/>
    </row>
    <row r="144" spans="1:19">
      <c r="A144" s="1096"/>
      <c r="B144" s="1096"/>
      <c r="C144" s="1137" t="s">
        <v>1411</v>
      </c>
      <c r="D144" s="72"/>
      <c r="E144" s="72"/>
      <c r="F144" s="72"/>
      <c r="G144" s="72"/>
      <c r="H144" s="72"/>
      <c r="I144" s="948"/>
      <c r="J144" s="72"/>
      <c r="K144" s="72"/>
      <c r="L144" s="74"/>
      <c r="M144" s="181"/>
      <c r="N144" s="181"/>
      <c r="O144" s="950"/>
      <c r="P144" s="1022">
        <f>SUM(P145:P151)</f>
        <v>346800</v>
      </c>
      <c r="Q144" s="327"/>
      <c r="R144" s="327"/>
      <c r="S144" s="141"/>
    </row>
    <row r="145" spans="1:19">
      <c r="A145" s="302"/>
      <c r="B145" s="302"/>
      <c r="C145" s="1138" t="s">
        <v>1181</v>
      </c>
      <c r="D145" s="72"/>
      <c r="E145" s="72"/>
      <c r="F145" s="72"/>
      <c r="G145" s="72"/>
      <c r="H145" s="72"/>
      <c r="I145" s="948"/>
      <c r="J145" s="72"/>
      <c r="K145" s="72"/>
      <c r="L145" s="74"/>
      <c r="M145" s="181">
        <v>4</v>
      </c>
      <c r="N145" s="181" t="s">
        <v>18</v>
      </c>
      <c r="O145" s="950">
        <v>10000</v>
      </c>
      <c r="P145" s="1022">
        <f>O145*M145</f>
        <v>40000</v>
      </c>
      <c r="Q145" s="338"/>
      <c r="R145" s="338"/>
      <c r="S145" s="141"/>
    </row>
    <row r="146" spans="1:19">
      <c r="A146" s="302"/>
      <c r="B146" s="302"/>
      <c r="C146" s="1138" t="s">
        <v>1182</v>
      </c>
      <c r="D146" s="72"/>
      <c r="E146" s="72"/>
      <c r="F146" s="72"/>
      <c r="G146" s="72"/>
      <c r="H146" s="72"/>
      <c r="I146" s="948"/>
      <c r="J146" s="72"/>
      <c r="K146" s="72"/>
      <c r="L146" s="74"/>
      <c r="M146" s="181">
        <v>200</v>
      </c>
      <c r="N146" s="181" t="s">
        <v>17</v>
      </c>
      <c r="O146" s="950">
        <v>500</v>
      </c>
      <c r="P146" s="1022">
        <f>O146*M146</f>
        <v>100000</v>
      </c>
      <c r="Q146" s="327"/>
      <c r="R146" s="327"/>
      <c r="S146" s="141"/>
    </row>
    <row r="147" spans="1:19">
      <c r="A147" s="302"/>
      <c r="B147" s="302"/>
      <c r="C147" s="1138" t="s">
        <v>1183</v>
      </c>
      <c r="D147" s="72"/>
      <c r="E147" s="72"/>
      <c r="F147" s="72"/>
      <c r="G147" s="72"/>
      <c r="H147" s="72"/>
      <c r="I147" s="948"/>
      <c r="J147" s="72"/>
      <c r="K147" s="72"/>
      <c r="L147" s="74"/>
      <c r="M147" s="181">
        <v>400</v>
      </c>
      <c r="N147" s="181" t="s">
        <v>17</v>
      </c>
      <c r="O147" s="950">
        <v>50</v>
      </c>
      <c r="P147" s="1022">
        <f>O147*M147</f>
        <v>20000</v>
      </c>
      <c r="Q147" s="328"/>
      <c r="R147" s="328"/>
      <c r="S147" s="141"/>
    </row>
    <row r="148" spans="1:19">
      <c r="A148" s="302"/>
      <c r="B148" s="302"/>
      <c r="C148" s="1138" t="s">
        <v>1184</v>
      </c>
      <c r="D148" s="72"/>
      <c r="E148" s="72"/>
      <c r="F148" s="72"/>
      <c r="G148" s="72"/>
      <c r="H148" s="72"/>
      <c r="I148" s="948"/>
      <c r="J148" s="72"/>
      <c r="K148" s="72"/>
      <c r="L148" s="74"/>
      <c r="M148" s="181">
        <v>3</v>
      </c>
      <c r="N148" s="181" t="s">
        <v>517</v>
      </c>
      <c r="O148" s="950">
        <v>1200</v>
      </c>
      <c r="P148" s="1022">
        <f t="shared" ref="P148" si="6">O148*M148</f>
        <v>3600</v>
      </c>
      <c r="Q148" s="328"/>
      <c r="R148" s="328"/>
      <c r="S148" s="141"/>
    </row>
    <row r="149" spans="1:19">
      <c r="A149" s="302"/>
      <c r="B149" s="302"/>
      <c r="C149" s="1138" t="s">
        <v>1185</v>
      </c>
      <c r="D149" s="72"/>
      <c r="E149" s="72"/>
      <c r="F149" s="72"/>
      <c r="G149" s="72"/>
      <c r="H149" s="72"/>
      <c r="I149" s="948"/>
      <c r="J149" s="72"/>
      <c r="K149" s="72"/>
      <c r="L149" s="74"/>
      <c r="M149" s="181">
        <v>16</v>
      </c>
      <c r="N149" s="181" t="s">
        <v>517</v>
      </c>
      <c r="O149" s="950">
        <v>1200</v>
      </c>
      <c r="P149" s="1022">
        <f>O149*M149</f>
        <v>19200</v>
      </c>
      <c r="Q149" s="327"/>
      <c r="R149" s="327"/>
      <c r="S149" s="141"/>
    </row>
    <row r="150" spans="1:19">
      <c r="A150" s="302"/>
      <c r="B150" s="302"/>
      <c r="C150" s="1138" t="s">
        <v>1186</v>
      </c>
      <c r="D150" s="72"/>
      <c r="E150" s="72"/>
      <c r="F150" s="72"/>
      <c r="G150" s="72"/>
      <c r="H150" s="72"/>
      <c r="I150" s="948"/>
      <c r="J150" s="72"/>
      <c r="K150" s="72"/>
      <c r="L150" s="74"/>
      <c r="M150" s="181">
        <v>200</v>
      </c>
      <c r="N150" s="181" t="s">
        <v>19</v>
      </c>
      <c r="O150" s="950">
        <v>70</v>
      </c>
      <c r="P150" s="1022">
        <f>O150*M150</f>
        <v>14000</v>
      </c>
      <c r="Q150" s="336"/>
      <c r="R150" s="336"/>
      <c r="S150" s="141"/>
    </row>
    <row r="151" spans="1:19">
      <c r="A151" s="302"/>
      <c r="B151" s="302"/>
      <c r="C151" s="1138" t="s">
        <v>1201</v>
      </c>
      <c r="D151" s="72"/>
      <c r="E151" s="72"/>
      <c r="F151" s="72"/>
      <c r="G151" s="72"/>
      <c r="H151" s="72"/>
      <c r="I151" s="948"/>
      <c r="J151" s="72"/>
      <c r="K151" s="72"/>
      <c r="L151" s="74"/>
      <c r="M151" s="181">
        <v>100</v>
      </c>
      <c r="N151" s="181" t="s">
        <v>701</v>
      </c>
      <c r="O151" s="950">
        <v>1500</v>
      </c>
      <c r="P151" s="1022">
        <f>O151*M151</f>
        <v>150000</v>
      </c>
      <c r="Q151" s="327"/>
      <c r="R151" s="327"/>
      <c r="S151" s="141"/>
    </row>
    <row r="152" spans="1:19">
      <c r="A152" s="302"/>
      <c r="B152" s="302"/>
      <c r="C152" s="1138"/>
      <c r="D152" s="72"/>
      <c r="E152" s="72"/>
      <c r="F152" s="72"/>
      <c r="G152" s="72"/>
      <c r="H152" s="72"/>
      <c r="I152" s="948"/>
      <c r="J152" s="72"/>
      <c r="K152" s="72"/>
      <c r="L152" s="74"/>
      <c r="M152" s="181"/>
      <c r="N152" s="181"/>
      <c r="O152" s="950"/>
      <c r="P152" s="950"/>
      <c r="Q152" s="328"/>
      <c r="R152" s="328"/>
      <c r="S152" s="141"/>
    </row>
    <row r="153" spans="1:19">
      <c r="A153" s="302"/>
      <c r="B153" s="302"/>
      <c r="C153" s="1137" t="s">
        <v>1412</v>
      </c>
      <c r="D153" s="72"/>
      <c r="E153" s="72"/>
      <c r="F153" s="72"/>
      <c r="G153" s="72"/>
      <c r="H153" s="72"/>
      <c r="I153" s="948"/>
      <c r="J153" s="72"/>
      <c r="K153" s="72"/>
      <c r="L153" s="74"/>
      <c r="M153" s="181"/>
      <c r="N153" s="181"/>
      <c r="O153" s="950"/>
      <c r="P153" s="1022">
        <f>SUM(P154:P157)</f>
        <v>61450</v>
      </c>
      <c r="Q153" s="327"/>
      <c r="R153" s="327"/>
      <c r="S153" s="141"/>
    </row>
    <row r="154" spans="1:19">
      <c r="A154" s="302"/>
      <c r="B154" s="302"/>
      <c r="C154" s="1138" t="s">
        <v>1202</v>
      </c>
      <c r="D154" s="72"/>
      <c r="E154" s="72"/>
      <c r="F154" s="72"/>
      <c r="G154" s="72"/>
      <c r="H154" s="72"/>
      <c r="I154" s="948"/>
      <c r="J154" s="72"/>
      <c r="K154" s="72"/>
      <c r="L154" s="74"/>
      <c r="M154" s="181"/>
      <c r="N154" s="181"/>
      <c r="O154" s="950" t="s">
        <v>48</v>
      </c>
      <c r="P154" s="1022">
        <v>50000</v>
      </c>
      <c r="Q154" s="336"/>
      <c r="R154" s="336"/>
      <c r="S154" s="141"/>
    </row>
    <row r="155" spans="1:19">
      <c r="A155" s="302"/>
      <c r="B155" s="302"/>
      <c r="C155" s="1138" t="s">
        <v>1203</v>
      </c>
      <c r="D155" s="72"/>
      <c r="E155" s="72"/>
      <c r="F155" s="72"/>
      <c r="G155" s="72"/>
      <c r="H155" s="72"/>
      <c r="I155" s="948"/>
      <c r="J155" s="72"/>
      <c r="K155" s="72"/>
      <c r="L155" s="74"/>
      <c r="M155" s="181">
        <v>200</v>
      </c>
      <c r="N155" s="181" t="s">
        <v>47</v>
      </c>
      <c r="O155" s="950">
        <v>7</v>
      </c>
      <c r="P155" s="1022">
        <f>O155*M155</f>
        <v>1400</v>
      </c>
      <c r="Q155" s="327"/>
      <c r="R155" s="327"/>
      <c r="S155" s="141"/>
    </row>
    <row r="156" spans="1:19">
      <c r="A156" s="302"/>
      <c r="B156" s="302"/>
      <c r="C156" s="1138" t="s">
        <v>1204</v>
      </c>
      <c r="D156" s="72"/>
      <c r="E156" s="72"/>
      <c r="F156" s="72"/>
      <c r="G156" s="72"/>
      <c r="H156" s="72"/>
      <c r="I156" s="948"/>
      <c r="J156" s="72"/>
      <c r="K156" s="72"/>
      <c r="L156" s="74"/>
      <c r="M156" s="181">
        <v>4</v>
      </c>
      <c r="N156" s="181" t="s">
        <v>47</v>
      </c>
      <c r="O156" s="950">
        <v>2100</v>
      </c>
      <c r="P156" s="1022">
        <f>O156*M156</f>
        <v>8400</v>
      </c>
      <c r="Q156" s="327"/>
      <c r="R156" s="327"/>
      <c r="S156" s="141"/>
    </row>
    <row r="157" spans="1:19">
      <c r="A157" s="302"/>
      <c r="B157" s="302"/>
      <c r="C157" s="1138" t="s">
        <v>1205</v>
      </c>
      <c r="D157" s="72"/>
      <c r="E157" s="72"/>
      <c r="F157" s="72"/>
      <c r="G157" s="72"/>
      <c r="H157" s="72"/>
      <c r="I157" s="948"/>
      <c r="J157" s="72"/>
      <c r="K157" s="72"/>
      <c r="L157" s="74"/>
      <c r="M157" s="181">
        <v>150</v>
      </c>
      <c r="N157" s="181" t="s">
        <v>19</v>
      </c>
      <c r="O157" s="950">
        <v>11</v>
      </c>
      <c r="P157" s="1022">
        <f>O157*M157</f>
        <v>1650</v>
      </c>
      <c r="Q157" s="336"/>
      <c r="R157" s="336"/>
      <c r="S157" s="141"/>
    </row>
    <row r="158" spans="1:19">
      <c r="A158" s="302"/>
      <c r="B158" s="302"/>
      <c r="C158" s="1138"/>
      <c r="D158" s="72"/>
      <c r="E158" s="72"/>
      <c r="F158" s="72"/>
      <c r="G158" s="72"/>
      <c r="H158" s="72"/>
      <c r="I158" s="948"/>
      <c r="J158" s="72"/>
      <c r="K158" s="72"/>
      <c r="L158" s="74"/>
      <c r="M158" s="181"/>
      <c r="N158" s="181"/>
      <c r="O158" s="950"/>
      <c r="P158" s="950"/>
      <c r="Q158" s="328"/>
      <c r="R158" s="328"/>
      <c r="S158" s="141"/>
    </row>
    <row r="159" spans="1:19">
      <c r="A159" s="302"/>
      <c r="B159" s="302"/>
      <c r="C159" s="1137" t="s">
        <v>1413</v>
      </c>
      <c r="D159" s="72"/>
      <c r="E159" s="72"/>
      <c r="F159" s="72"/>
      <c r="G159" s="72"/>
      <c r="H159" s="72"/>
      <c r="I159" s="948"/>
      <c r="J159" s="72"/>
      <c r="K159" s="72"/>
      <c r="L159" s="74"/>
      <c r="M159" s="181"/>
      <c r="N159" s="181"/>
      <c r="O159" s="950"/>
      <c r="P159" s="1022">
        <f>SUM(P160:P167)</f>
        <v>53600</v>
      </c>
      <c r="Q159" s="328"/>
      <c r="R159" s="328"/>
      <c r="S159" s="141"/>
    </row>
    <row r="160" spans="1:19">
      <c r="A160" s="302"/>
      <c r="B160" s="302"/>
      <c r="C160" s="1138" t="s">
        <v>1206</v>
      </c>
      <c r="D160" s="72"/>
      <c r="E160" s="72"/>
      <c r="F160" s="72"/>
      <c r="G160" s="72"/>
      <c r="H160" s="72"/>
      <c r="I160" s="948"/>
      <c r="J160" s="72"/>
      <c r="K160" s="72"/>
      <c r="L160" s="74"/>
      <c r="M160" s="181">
        <v>100</v>
      </c>
      <c r="N160" s="181" t="s">
        <v>20</v>
      </c>
      <c r="O160" s="950">
        <v>300</v>
      </c>
      <c r="P160" s="1022">
        <f>O160*M160</f>
        <v>30000</v>
      </c>
      <c r="Q160" s="338"/>
      <c r="R160" s="338"/>
      <c r="S160" s="141"/>
    </row>
    <row r="161" spans="1:19">
      <c r="A161" s="302"/>
      <c r="B161" s="302"/>
      <c r="C161" s="1138" t="s">
        <v>1207</v>
      </c>
      <c r="D161" s="72"/>
      <c r="E161" s="72"/>
      <c r="F161" s="72"/>
      <c r="G161" s="72"/>
      <c r="H161" s="72"/>
      <c r="I161" s="948"/>
      <c r="J161" s="72"/>
      <c r="K161" s="72"/>
      <c r="L161" s="74"/>
      <c r="M161" s="181">
        <v>8</v>
      </c>
      <c r="N161" s="181" t="s">
        <v>20</v>
      </c>
      <c r="O161" s="950">
        <v>300</v>
      </c>
      <c r="P161" s="1022">
        <f>O161*M161</f>
        <v>2400</v>
      </c>
      <c r="Q161" s="327"/>
      <c r="R161" s="327"/>
      <c r="S161" s="141"/>
    </row>
    <row r="162" spans="1:19">
      <c r="A162" s="302"/>
      <c r="B162" s="302"/>
      <c r="C162" s="1138" t="s">
        <v>1208</v>
      </c>
      <c r="D162" s="72"/>
      <c r="E162" s="72"/>
      <c r="F162" s="72"/>
      <c r="G162" s="72"/>
      <c r="H162" s="72"/>
      <c r="I162" s="948"/>
      <c r="J162" s="72"/>
      <c r="K162" s="72"/>
      <c r="L162" s="74"/>
      <c r="M162" s="181">
        <v>8</v>
      </c>
      <c r="N162" s="181" t="s">
        <v>20</v>
      </c>
      <c r="O162" s="950">
        <v>300</v>
      </c>
      <c r="P162" s="1022">
        <f>O162*M162</f>
        <v>2400</v>
      </c>
      <c r="Q162" s="328"/>
      <c r="R162" s="328"/>
      <c r="S162" s="141"/>
    </row>
    <row r="163" spans="1:19">
      <c r="A163" s="302"/>
      <c r="B163" s="302"/>
      <c r="C163" s="1138" t="s">
        <v>1209</v>
      </c>
      <c r="D163" s="72"/>
      <c r="E163" s="72"/>
      <c r="F163" s="72"/>
      <c r="G163" s="72"/>
      <c r="H163" s="72"/>
      <c r="I163" s="948"/>
      <c r="J163" s="72"/>
      <c r="K163" s="72"/>
      <c r="L163" s="74"/>
      <c r="M163" s="181">
        <v>8</v>
      </c>
      <c r="N163" s="181" t="s">
        <v>20</v>
      </c>
      <c r="O163" s="950">
        <v>300</v>
      </c>
      <c r="P163" s="1022">
        <f>O163*M163</f>
        <v>2400</v>
      </c>
      <c r="Q163" s="328"/>
      <c r="R163" s="328"/>
      <c r="S163" s="141"/>
    </row>
    <row r="164" spans="1:19">
      <c r="A164" s="302"/>
      <c r="B164" s="302"/>
      <c r="C164" s="1138" t="s">
        <v>1210</v>
      </c>
      <c r="D164" s="72"/>
      <c r="E164" s="72"/>
      <c r="F164" s="72"/>
      <c r="G164" s="72"/>
      <c r="H164" s="72"/>
      <c r="I164" s="948"/>
      <c r="J164" s="72"/>
      <c r="K164" s="72"/>
      <c r="L164" s="74"/>
      <c r="M164" s="181">
        <v>8</v>
      </c>
      <c r="N164" s="181" t="s">
        <v>20</v>
      </c>
      <c r="O164" s="950">
        <v>500</v>
      </c>
      <c r="P164" s="1022">
        <f>O164*M164</f>
        <v>4000</v>
      </c>
      <c r="Q164" s="327"/>
      <c r="R164" s="327"/>
      <c r="S164" s="141"/>
    </row>
    <row r="165" spans="1:19">
      <c r="A165" s="302"/>
      <c r="B165" s="302"/>
      <c r="C165" s="1138" t="s">
        <v>21</v>
      </c>
      <c r="D165" s="72"/>
      <c r="E165" s="72"/>
      <c r="F165" s="72"/>
      <c r="G165" s="72"/>
      <c r="H165" s="72"/>
      <c r="I165" s="948"/>
      <c r="J165" s="72"/>
      <c r="K165" s="72"/>
      <c r="L165" s="74"/>
      <c r="M165" s="181"/>
      <c r="N165" s="181"/>
      <c r="O165" s="950"/>
      <c r="P165" s="1022"/>
      <c r="Q165" s="336"/>
      <c r="R165" s="336"/>
      <c r="S165" s="141"/>
    </row>
    <row r="166" spans="1:19">
      <c r="A166" s="302"/>
      <c r="B166" s="302"/>
      <c r="C166" s="1138" t="s">
        <v>1211</v>
      </c>
      <c r="D166" s="72"/>
      <c r="E166" s="72"/>
      <c r="F166" s="72"/>
      <c r="G166" s="72"/>
      <c r="H166" s="72"/>
      <c r="I166" s="948"/>
      <c r="J166" s="72"/>
      <c r="K166" s="72"/>
      <c r="L166" s="74"/>
      <c r="M166" s="181">
        <v>8</v>
      </c>
      <c r="N166" s="181" t="s">
        <v>20</v>
      </c>
      <c r="O166" s="950">
        <v>800</v>
      </c>
      <c r="P166" s="1022">
        <f>O166*M166</f>
        <v>6400</v>
      </c>
      <c r="Q166" s="986"/>
      <c r="R166" s="986"/>
      <c r="S166" s="141"/>
    </row>
    <row r="167" spans="1:19">
      <c r="A167" s="302"/>
      <c r="B167" s="302"/>
      <c r="C167" s="1138" t="s">
        <v>1212</v>
      </c>
      <c r="D167" s="72"/>
      <c r="E167" s="72"/>
      <c r="F167" s="72"/>
      <c r="G167" s="72"/>
      <c r="H167" s="72"/>
      <c r="I167" s="948"/>
      <c r="J167" s="72"/>
      <c r="K167" s="72"/>
      <c r="L167" s="74"/>
      <c r="M167" s="181">
        <v>20</v>
      </c>
      <c r="N167" s="181" t="s">
        <v>20</v>
      </c>
      <c r="O167" s="950">
        <v>300</v>
      </c>
      <c r="P167" s="1022">
        <f>O167*M167</f>
        <v>6000</v>
      </c>
      <c r="Q167" s="986"/>
      <c r="R167" s="986"/>
      <c r="S167" s="141"/>
    </row>
    <row r="168" spans="1:19">
      <c r="A168" s="302"/>
      <c r="B168" s="302"/>
      <c r="C168" s="1138"/>
      <c r="D168" s="72"/>
      <c r="E168" s="72"/>
      <c r="F168" s="72"/>
      <c r="G168" s="72"/>
      <c r="H168" s="72"/>
      <c r="I168" s="948"/>
      <c r="J168" s="72"/>
      <c r="K168" s="72"/>
      <c r="L168" s="74"/>
      <c r="M168" s="181"/>
      <c r="N168" s="181"/>
      <c r="O168" s="950"/>
      <c r="P168" s="950"/>
      <c r="Q168" s="986"/>
      <c r="R168" s="986"/>
      <c r="S168" s="141"/>
    </row>
    <row r="169" spans="1:19">
      <c r="A169" s="1096"/>
      <c r="B169" s="1096"/>
      <c r="C169" s="1136" t="s">
        <v>1318</v>
      </c>
      <c r="D169" s="72"/>
      <c r="E169" s="72"/>
      <c r="F169" s="72"/>
      <c r="G169" s="72"/>
      <c r="H169" s="72"/>
      <c r="I169" s="948"/>
      <c r="J169" s="72"/>
      <c r="K169" s="72"/>
      <c r="L169" s="74"/>
      <c r="M169" s="181"/>
      <c r="N169" s="181"/>
      <c r="O169" s="950"/>
      <c r="P169" s="950">
        <f>P170+P173+P176+P181+P184+P190</f>
        <v>10479600</v>
      </c>
      <c r="Q169" s="986"/>
      <c r="R169" s="986"/>
      <c r="S169" s="141"/>
    </row>
    <row r="170" spans="1:19" ht="102" customHeight="1">
      <c r="A170" s="302"/>
      <c r="B170" s="302"/>
      <c r="C170" s="1140" t="s">
        <v>1414</v>
      </c>
      <c r="D170" s="72"/>
      <c r="E170" s="72"/>
      <c r="F170" s="72"/>
      <c r="G170" s="72"/>
      <c r="H170" s="72"/>
      <c r="I170" s="948"/>
      <c r="J170" s="72"/>
      <c r="K170" s="72"/>
      <c r="L170" s="74"/>
      <c r="M170" s="181"/>
      <c r="N170" s="181"/>
      <c r="O170" s="950"/>
      <c r="P170" s="1027">
        <f>SUM(P171)</f>
        <v>5000000</v>
      </c>
      <c r="Q170" s="996"/>
      <c r="R170" s="996"/>
      <c r="S170" s="141"/>
    </row>
    <row r="171" spans="1:19">
      <c r="A171" s="302"/>
      <c r="B171" s="302"/>
      <c r="C171" s="1138" t="s">
        <v>1213</v>
      </c>
      <c r="D171" s="72"/>
      <c r="E171" s="72"/>
      <c r="F171" s="72"/>
      <c r="G171" s="72"/>
      <c r="H171" s="72"/>
      <c r="I171" s="948"/>
      <c r="J171" s="72"/>
      <c r="K171" s="72"/>
      <c r="L171" s="74"/>
      <c r="M171" s="181">
        <v>1</v>
      </c>
      <c r="N171" s="181"/>
      <c r="O171" s="950"/>
      <c r="P171" s="1022">
        <v>5000000</v>
      </c>
      <c r="Q171" s="331"/>
      <c r="R171" s="331"/>
      <c r="S171" s="141"/>
    </row>
    <row r="172" spans="1:19">
      <c r="A172" s="302"/>
      <c r="B172" s="302"/>
      <c r="C172" s="1138"/>
      <c r="D172" s="72"/>
      <c r="E172" s="72"/>
      <c r="F172" s="72"/>
      <c r="G172" s="72"/>
      <c r="H172" s="72"/>
      <c r="I172" s="948"/>
      <c r="J172" s="72"/>
      <c r="K172" s="72"/>
      <c r="L172" s="74"/>
      <c r="M172" s="181"/>
      <c r="N172" s="181"/>
      <c r="O172" s="950"/>
      <c r="P172" s="950"/>
      <c r="Q172" s="331"/>
      <c r="R172" s="331"/>
      <c r="S172" s="141"/>
    </row>
    <row r="173" spans="1:19" ht="75">
      <c r="A173" s="302"/>
      <c r="B173" s="302"/>
      <c r="C173" s="1141" t="s">
        <v>1415</v>
      </c>
      <c r="D173" s="72"/>
      <c r="E173" s="72"/>
      <c r="F173" s="72"/>
      <c r="G173" s="72"/>
      <c r="H173" s="72"/>
      <c r="I173" s="948"/>
      <c r="J173" s="72"/>
      <c r="K173" s="72"/>
      <c r="L173" s="74"/>
      <c r="M173" s="181"/>
      <c r="N173" s="181"/>
      <c r="O173" s="950"/>
      <c r="P173" s="1022">
        <f>SUM(P174)</f>
        <v>3400000</v>
      </c>
      <c r="Q173" s="331"/>
      <c r="R173" s="331"/>
      <c r="S173" s="141"/>
    </row>
    <row r="174" spans="1:19">
      <c r="A174" s="302"/>
      <c r="B174" s="302"/>
      <c r="C174" s="1138" t="s">
        <v>1213</v>
      </c>
      <c r="D174" s="72"/>
      <c r="E174" s="72"/>
      <c r="F174" s="72"/>
      <c r="G174" s="72"/>
      <c r="H174" s="72"/>
      <c r="I174" s="948"/>
      <c r="J174" s="72"/>
      <c r="K174" s="72"/>
      <c r="L174" s="74"/>
      <c r="M174" s="181">
        <v>1</v>
      </c>
      <c r="N174" s="181"/>
      <c r="O174" s="950"/>
      <c r="P174" s="1022">
        <v>3400000</v>
      </c>
      <c r="Q174" s="331"/>
      <c r="R174" s="331"/>
      <c r="S174" s="141"/>
    </row>
    <row r="175" spans="1:19">
      <c r="A175" s="302"/>
      <c r="B175" s="302"/>
      <c r="C175" s="1138"/>
      <c r="D175" s="72"/>
      <c r="E175" s="72"/>
      <c r="F175" s="72"/>
      <c r="G175" s="72"/>
      <c r="H175" s="72"/>
      <c r="I175" s="948"/>
      <c r="J175" s="72"/>
      <c r="K175" s="72"/>
      <c r="L175" s="74"/>
      <c r="M175" s="181"/>
      <c r="N175" s="181"/>
      <c r="O175" s="950"/>
      <c r="P175" s="1022"/>
      <c r="Q175" s="332"/>
      <c r="R175" s="332"/>
      <c r="S175" s="141"/>
    </row>
    <row r="176" spans="1:19">
      <c r="A176" s="302"/>
      <c r="B176" s="302"/>
      <c r="C176" s="1137" t="s">
        <v>1416</v>
      </c>
      <c r="D176" s="72"/>
      <c r="E176" s="72"/>
      <c r="F176" s="72"/>
      <c r="G176" s="72"/>
      <c r="H176" s="72"/>
      <c r="I176" s="948"/>
      <c r="J176" s="72"/>
      <c r="K176" s="72"/>
      <c r="L176" s="74"/>
      <c r="M176" s="181"/>
      <c r="N176" s="181"/>
      <c r="O176" s="950"/>
      <c r="P176" s="1022">
        <f>SUM(P177:P180)</f>
        <v>94200</v>
      </c>
      <c r="Q176" s="997"/>
      <c r="R176" s="997"/>
      <c r="S176" s="141"/>
    </row>
    <row r="177" spans="1:19">
      <c r="A177" s="302"/>
      <c r="B177" s="302"/>
      <c r="C177" s="1138" t="s">
        <v>1181</v>
      </c>
      <c r="D177" s="72"/>
      <c r="E177" s="72"/>
      <c r="F177" s="72"/>
      <c r="G177" s="72"/>
      <c r="H177" s="72"/>
      <c r="I177" s="948"/>
      <c r="J177" s="72"/>
      <c r="K177" s="72"/>
      <c r="L177" s="74"/>
      <c r="M177" s="181">
        <v>4</v>
      </c>
      <c r="N177" s="181" t="s">
        <v>18</v>
      </c>
      <c r="O177" s="950">
        <v>10000</v>
      </c>
      <c r="P177" s="1022">
        <f>O177*M177</f>
        <v>40000</v>
      </c>
      <c r="Q177" s="328"/>
      <c r="R177" s="328"/>
      <c r="S177" s="141"/>
    </row>
    <row r="178" spans="1:19">
      <c r="A178" s="302"/>
      <c r="B178" s="302"/>
      <c r="C178" s="1138" t="s">
        <v>1214</v>
      </c>
      <c r="D178" s="72"/>
      <c r="E178" s="72"/>
      <c r="F178" s="72"/>
      <c r="G178" s="72"/>
      <c r="H178" s="72"/>
      <c r="I178" s="948"/>
      <c r="J178" s="72"/>
      <c r="K178" s="72"/>
      <c r="L178" s="74"/>
      <c r="M178" s="181">
        <v>60</v>
      </c>
      <c r="N178" s="181" t="s">
        <v>17</v>
      </c>
      <c r="O178" s="950">
        <v>500</v>
      </c>
      <c r="P178" s="1022">
        <f>O178*M178</f>
        <v>30000</v>
      </c>
      <c r="Q178" s="328"/>
      <c r="R178" s="328"/>
      <c r="S178" s="141"/>
    </row>
    <row r="179" spans="1:19">
      <c r="A179" s="302"/>
      <c r="B179" s="302"/>
      <c r="C179" s="1138" t="s">
        <v>1215</v>
      </c>
      <c r="D179" s="72"/>
      <c r="E179" s="72"/>
      <c r="F179" s="72"/>
      <c r="G179" s="72"/>
      <c r="H179" s="72"/>
      <c r="I179" s="948"/>
      <c r="J179" s="72"/>
      <c r="K179" s="72"/>
      <c r="L179" s="74"/>
      <c r="M179" s="181">
        <v>400</v>
      </c>
      <c r="N179" s="181" t="s">
        <v>17</v>
      </c>
      <c r="O179" s="950">
        <v>50</v>
      </c>
      <c r="P179" s="1022">
        <f>O179*M179</f>
        <v>20000</v>
      </c>
      <c r="Q179" s="328"/>
      <c r="R179" s="328"/>
      <c r="S179" s="141"/>
    </row>
    <row r="180" spans="1:19">
      <c r="A180" s="302"/>
      <c r="B180" s="302"/>
      <c r="C180" s="1138" t="s">
        <v>1186</v>
      </c>
      <c r="D180" s="72"/>
      <c r="E180" s="72"/>
      <c r="F180" s="72"/>
      <c r="G180" s="72"/>
      <c r="H180" s="72"/>
      <c r="I180" s="948"/>
      <c r="J180" s="72"/>
      <c r="K180" s="72"/>
      <c r="L180" s="74"/>
      <c r="M180" s="181">
        <v>60</v>
      </c>
      <c r="N180" s="181" t="s">
        <v>19</v>
      </c>
      <c r="O180" s="950">
        <v>70</v>
      </c>
      <c r="P180" s="1022">
        <f>O180*M180</f>
        <v>4200</v>
      </c>
      <c r="Q180" s="328"/>
      <c r="R180" s="328"/>
      <c r="S180" s="141"/>
    </row>
    <row r="181" spans="1:19">
      <c r="A181" s="302"/>
      <c r="B181" s="302"/>
      <c r="C181" s="1137" t="s">
        <v>1417</v>
      </c>
      <c r="D181" s="72"/>
      <c r="E181" s="72"/>
      <c r="F181" s="72"/>
      <c r="G181" s="72"/>
      <c r="H181" s="72"/>
      <c r="I181" s="948"/>
      <c r="J181" s="72"/>
      <c r="K181" s="72"/>
      <c r="L181" s="74"/>
      <c r="M181" s="181"/>
      <c r="N181" s="181"/>
      <c r="O181" s="950"/>
      <c r="P181" s="1022">
        <f>SUM(P182:P183)</f>
        <v>1625000</v>
      </c>
      <c r="Q181" s="328"/>
      <c r="R181" s="328"/>
      <c r="S181" s="141"/>
    </row>
    <row r="182" spans="1:19">
      <c r="A182" s="302"/>
      <c r="B182" s="302"/>
      <c r="C182" s="1138" t="s">
        <v>1216</v>
      </c>
      <c r="D182" s="72"/>
      <c r="E182" s="72"/>
      <c r="F182" s="72"/>
      <c r="G182" s="72"/>
      <c r="H182" s="72"/>
      <c r="I182" s="948"/>
      <c r="J182" s="72"/>
      <c r="K182" s="72"/>
      <c r="L182" s="74"/>
      <c r="M182" s="181">
        <v>500</v>
      </c>
      <c r="N182" s="181" t="s">
        <v>33</v>
      </c>
      <c r="O182" s="950">
        <v>2500</v>
      </c>
      <c r="P182" s="1022">
        <f>O182*M182</f>
        <v>1250000</v>
      </c>
      <c r="Q182" s="338"/>
      <c r="R182" s="338"/>
      <c r="S182" s="141"/>
    </row>
    <row r="183" spans="1:19">
      <c r="A183" s="299"/>
      <c r="B183" s="299"/>
      <c r="C183" s="1138" t="s">
        <v>1217</v>
      </c>
      <c r="D183" s="72"/>
      <c r="E183" s="72"/>
      <c r="F183" s="72"/>
      <c r="G183" s="72"/>
      <c r="H183" s="72"/>
      <c r="I183" s="948"/>
      <c r="J183" s="72"/>
      <c r="K183" s="72"/>
      <c r="L183" s="74"/>
      <c r="M183" s="181">
        <v>500</v>
      </c>
      <c r="N183" s="181" t="s">
        <v>17</v>
      </c>
      <c r="O183" s="950">
        <v>750</v>
      </c>
      <c r="P183" s="1022">
        <f>O183*M183</f>
        <v>375000</v>
      </c>
      <c r="Q183" s="327"/>
      <c r="R183" s="327"/>
      <c r="S183" s="141"/>
    </row>
    <row r="184" spans="1:19">
      <c r="A184" s="299"/>
      <c r="B184" s="299"/>
      <c r="C184" s="1137" t="s">
        <v>1418</v>
      </c>
      <c r="D184" s="72"/>
      <c r="E184" s="72"/>
      <c r="F184" s="72"/>
      <c r="G184" s="72"/>
      <c r="H184" s="72"/>
      <c r="I184" s="948"/>
      <c r="J184" s="72"/>
      <c r="K184" s="72"/>
      <c r="L184" s="74"/>
      <c r="M184" s="181"/>
      <c r="N184" s="181"/>
      <c r="O184" s="950"/>
      <c r="P184" s="1022">
        <f>SUM(P185:P189)</f>
        <v>110400</v>
      </c>
      <c r="Q184" s="328"/>
      <c r="R184" s="328"/>
      <c r="S184" s="141"/>
    </row>
    <row r="185" spans="1:19">
      <c r="A185" s="299"/>
      <c r="B185" s="299"/>
      <c r="C185" s="1138" t="s">
        <v>1218</v>
      </c>
      <c r="D185" s="72"/>
      <c r="E185" s="72"/>
      <c r="F185" s="72"/>
      <c r="G185" s="72"/>
      <c r="H185" s="72"/>
      <c r="I185" s="948"/>
      <c r="J185" s="72"/>
      <c r="K185" s="72"/>
      <c r="L185" s="74"/>
      <c r="M185" s="181">
        <v>4</v>
      </c>
      <c r="N185" s="181" t="s">
        <v>18</v>
      </c>
      <c r="O185" s="950">
        <v>10000</v>
      </c>
      <c r="P185" s="1022">
        <f>O185*M185</f>
        <v>40000</v>
      </c>
      <c r="Q185" s="328"/>
      <c r="R185" s="328"/>
      <c r="S185" s="141"/>
    </row>
    <row r="186" spans="1:19">
      <c r="A186" s="299"/>
      <c r="B186" s="299"/>
      <c r="C186" s="1138" t="s">
        <v>1182</v>
      </c>
      <c r="D186" s="72"/>
      <c r="E186" s="72"/>
      <c r="F186" s="72"/>
      <c r="G186" s="72"/>
      <c r="H186" s="72"/>
      <c r="I186" s="948"/>
      <c r="J186" s="72"/>
      <c r="K186" s="72"/>
      <c r="L186" s="74"/>
      <c r="M186" s="181">
        <v>100</v>
      </c>
      <c r="N186" s="181" t="s">
        <v>17</v>
      </c>
      <c r="O186" s="950">
        <v>500</v>
      </c>
      <c r="P186" s="1022">
        <f>O186*M186</f>
        <v>50000</v>
      </c>
      <c r="Q186" s="328"/>
      <c r="R186" s="328"/>
      <c r="S186" s="141"/>
    </row>
    <row r="187" spans="1:19">
      <c r="A187" s="299"/>
      <c r="B187" s="299"/>
      <c r="C187" s="1138" t="s">
        <v>1183</v>
      </c>
      <c r="D187" s="72"/>
      <c r="E187" s="72"/>
      <c r="F187" s="72"/>
      <c r="G187" s="72"/>
      <c r="H187" s="72"/>
      <c r="I187" s="948"/>
      <c r="J187" s="72"/>
      <c r="K187" s="72"/>
      <c r="L187" s="74"/>
      <c r="M187" s="181">
        <v>100</v>
      </c>
      <c r="N187" s="181" t="s">
        <v>17</v>
      </c>
      <c r="O187" s="950">
        <v>50</v>
      </c>
      <c r="P187" s="1022">
        <f>O187*M187</f>
        <v>5000</v>
      </c>
      <c r="Q187" s="327"/>
      <c r="R187" s="327"/>
      <c r="S187" s="141"/>
    </row>
    <row r="188" spans="1:19">
      <c r="A188" s="344"/>
      <c r="B188" s="344"/>
      <c r="C188" s="1138" t="s">
        <v>1184</v>
      </c>
      <c r="D188" s="72"/>
      <c r="E188" s="72"/>
      <c r="F188" s="72"/>
      <c r="G188" s="72"/>
      <c r="H188" s="72"/>
      <c r="I188" s="948"/>
      <c r="J188" s="72"/>
      <c r="K188" s="72"/>
      <c r="L188" s="74"/>
      <c r="M188" s="181">
        <v>7</v>
      </c>
      <c r="N188" s="181" t="s">
        <v>517</v>
      </c>
      <c r="O188" s="950">
        <v>1200</v>
      </c>
      <c r="P188" s="1022">
        <f>O188*M188</f>
        <v>8400</v>
      </c>
      <c r="Q188" s="336"/>
      <c r="R188" s="336"/>
      <c r="S188" s="141"/>
    </row>
    <row r="189" spans="1:19">
      <c r="A189" s="299"/>
      <c r="B189" s="299"/>
      <c r="C189" s="1138" t="s">
        <v>1186</v>
      </c>
      <c r="D189" s="72"/>
      <c r="E189" s="72"/>
      <c r="F189" s="72"/>
      <c r="G189" s="72"/>
      <c r="H189" s="72"/>
      <c r="I189" s="948"/>
      <c r="J189" s="72"/>
      <c r="K189" s="72"/>
      <c r="L189" s="74"/>
      <c r="M189" s="181">
        <v>100</v>
      </c>
      <c r="N189" s="181" t="s">
        <v>19</v>
      </c>
      <c r="O189" s="950">
        <v>70</v>
      </c>
      <c r="P189" s="1022">
        <f>O189*M189</f>
        <v>7000</v>
      </c>
      <c r="Q189" s="328"/>
      <c r="R189" s="328"/>
      <c r="S189" s="141"/>
    </row>
    <row r="190" spans="1:19" ht="75">
      <c r="A190" s="299"/>
      <c r="B190" s="299"/>
      <c r="C190" s="1141" t="s">
        <v>1419</v>
      </c>
      <c r="D190" s="72"/>
      <c r="E190" s="72"/>
      <c r="F190" s="72"/>
      <c r="G190" s="72"/>
      <c r="H190" s="72"/>
      <c r="I190" s="948"/>
      <c r="J190" s="72"/>
      <c r="K190" s="72"/>
      <c r="L190" s="74"/>
      <c r="M190" s="181"/>
      <c r="N190" s="181"/>
      <c r="O190" s="950"/>
      <c r="P190" s="1022">
        <f>P191</f>
        <v>250000</v>
      </c>
      <c r="Q190" s="328"/>
      <c r="R190" s="328"/>
      <c r="S190" s="141"/>
    </row>
    <row r="191" spans="1:19">
      <c r="A191" s="299"/>
      <c r="B191" s="299"/>
      <c r="C191" s="1138" t="s">
        <v>1219</v>
      </c>
      <c r="D191" s="72"/>
      <c r="E191" s="72"/>
      <c r="F191" s="72"/>
      <c r="G191" s="72"/>
      <c r="H191" s="72"/>
      <c r="I191" s="948"/>
      <c r="J191" s="72"/>
      <c r="K191" s="72"/>
      <c r="L191" s="74"/>
      <c r="M191" s="181">
        <v>1000</v>
      </c>
      <c r="N191" s="181" t="s">
        <v>46</v>
      </c>
      <c r="O191" s="950">
        <v>250</v>
      </c>
      <c r="P191" s="1022">
        <f>O191*M191</f>
        <v>250000</v>
      </c>
      <c r="Q191" s="327"/>
      <c r="R191" s="327"/>
      <c r="S191" s="141"/>
    </row>
    <row r="192" spans="1:19">
      <c r="A192" s="299"/>
      <c r="B192" s="299"/>
      <c r="C192" s="1136" t="s">
        <v>1319</v>
      </c>
      <c r="D192" s="72"/>
      <c r="E192" s="72"/>
      <c r="F192" s="72"/>
      <c r="G192" s="72"/>
      <c r="H192" s="72"/>
      <c r="I192" s="948"/>
      <c r="J192" s="72"/>
      <c r="K192" s="72"/>
      <c r="L192" s="74"/>
      <c r="M192" s="181"/>
      <c r="N192" s="181"/>
      <c r="O192" s="950"/>
      <c r="P192" s="1022">
        <f>(P193+P199+P205+P217)</f>
        <v>1567040</v>
      </c>
      <c r="Q192" s="328"/>
      <c r="R192" s="328"/>
      <c r="S192" s="141"/>
    </row>
    <row r="193" spans="1:19" ht="75">
      <c r="A193" s="299"/>
      <c r="B193" s="299"/>
      <c r="C193" s="1141" t="s">
        <v>1420</v>
      </c>
      <c r="D193" s="72"/>
      <c r="E193" s="72"/>
      <c r="F193" s="72"/>
      <c r="G193" s="72"/>
      <c r="H193" s="72"/>
      <c r="I193" s="948"/>
      <c r="J193" s="72"/>
      <c r="K193" s="72"/>
      <c r="L193" s="74"/>
      <c r="M193" s="181"/>
      <c r="N193" s="181"/>
      <c r="O193" s="950"/>
      <c r="P193" s="1022">
        <f>SUM(P194:P198)</f>
        <v>535800</v>
      </c>
      <c r="Q193" s="339"/>
      <c r="R193" s="339"/>
      <c r="S193" s="141"/>
    </row>
    <row r="194" spans="1:19">
      <c r="A194" s="299"/>
      <c r="B194" s="299"/>
      <c r="C194" s="1138" t="s">
        <v>1220</v>
      </c>
      <c r="D194" s="72"/>
      <c r="E194" s="72"/>
      <c r="F194" s="72"/>
      <c r="G194" s="72"/>
      <c r="H194" s="72"/>
      <c r="I194" s="948"/>
      <c r="J194" s="72"/>
      <c r="K194" s="72"/>
      <c r="L194" s="74"/>
      <c r="M194" s="181">
        <v>80</v>
      </c>
      <c r="N194" s="181" t="s">
        <v>33</v>
      </c>
      <c r="O194" s="950">
        <v>2500</v>
      </c>
      <c r="P194" s="1022">
        <f>O194*M194</f>
        <v>200000</v>
      </c>
      <c r="Q194" s="328"/>
      <c r="R194" s="328"/>
      <c r="S194" s="141"/>
    </row>
    <row r="195" spans="1:19">
      <c r="A195" s="299"/>
      <c r="B195" s="299"/>
      <c r="C195" s="1138" t="s">
        <v>1221</v>
      </c>
      <c r="D195" s="72"/>
      <c r="E195" s="72"/>
      <c r="F195" s="72"/>
      <c r="G195" s="72"/>
      <c r="H195" s="72"/>
      <c r="I195" s="948"/>
      <c r="J195" s="72"/>
      <c r="K195" s="72"/>
      <c r="L195" s="74"/>
      <c r="M195" s="181">
        <v>160</v>
      </c>
      <c r="N195" s="181" t="s">
        <v>17</v>
      </c>
      <c r="O195" s="950">
        <v>240</v>
      </c>
      <c r="P195" s="1022">
        <f>O195*M195</f>
        <v>38400</v>
      </c>
      <c r="Q195" s="327"/>
      <c r="R195" s="327"/>
      <c r="S195" s="141"/>
    </row>
    <row r="196" spans="1:19">
      <c r="A196" s="299"/>
      <c r="B196" s="299"/>
      <c r="C196" s="1138" t="s">
        <v>1222</v>
      </c>
      <c r="D196" s="72"/>
      <c r="E196" s="72"/>
      <c r="F196" s="72"/>
      <c r="G196" s="72"/>
      <c r="H196" s="72"/>
      <c r="I196" s="948"/>
      <c r="J196" s="72"/>
      <c r="K196" s="72"/>
      <c r="L196" s="74"/>
      <c r="M196" s="181">
        <v>40</v>
      </c>
      <c r="N196" s="181" t="s">
        <v>40</v>
      </c>
      <c r="O196" s="950">
        <v>5000</v>
      </c>
      <c r="P196" s="1022">
        <f>O196*M196</f>
        <v>200000</v>
      </c>
      <c r="Q196" s="338"/>
      <c r="R196" s="338"/>
      <c r="S196" s="141"/>
    </row>
    <row r="197" spans="1:19">
      <c r="A197" s="299"/>
      <c r="B197" s="299"/>
      <c r="C197" s="1138" t="s">
        <v>1223</v>
      </c>
      <c r="D197" s="72"/>
      <c r="E197" s="72"/>
      <c r="F197" s="72"/>
      <c r="G197" s="72"/>
      <c r="H197" s="72"/>
      <c r="I197" s="948"/>
      <c r="J197" s="72"/>
      <c r="K197" s="72"/>
      <c r="L197" s="74"/>
      <c r="M197" s="181">
        <v>80</v>
      </c>
      <c r="N197" s="181" t="s">
        <v>25</v>
      </c>
      <c r="O197" s="950">
        <v>1200</v>
      </c>
      <c r="P197" s="1022">
        <f>O197*M197</f>
        <v>96000</v>
      </c>
      <c r="Q197" s="339"/>
      <c r="R197" s="339"/>
      <c r="S197" s="141"/>
    </row>
    <row r="198" spans="1:19">
      <c r="A198" s="299"/>
      <c r="B198" s="299"/>
      <c r="C198" s="1138" t="s">
        <v>1224</v>
      </c>
      <c r="D198" s="72"/>
      <c r="E198" s="72"/>
      <c r="F198" s="72"/>
      <c r="G198" s="72"/>
      <c r="H198" s="72"/>
      <c r="I198" s="948"/>
      <c r="J198" s="72"/>
      <c r="K198" s="72"/>
      <c r="L198" s="74"/>
      <c r="M198" s="181">
        <v>20</v>
      </c>
      <c r="N198" s="181" t="s">
        <v>19</v>
      </c>
      <c r="O198" s="950">
        <v>70</v>
      </c>
      <c r="P198" s="1022">
        <f>O198*M198</f>
        <v>1400</v>
      </c>
      <c r="Q198" s="336"/>
      <c r="R198" s="336"/>
      <c r="S198" s="141"/>
    </row>
    <row r="199" spans="1:19" ht="75">
      <c r="A199" s="299"/>
      <c r="B199" s="299"/>
      <c r="C199" s="1141" t="s">
        <v>1421</v>
      </c>
      <c r="D199" s="72"/>
      <c r="E199" s="72"/>
      <c r="F199" s="72"/>
      <c r="G199" s="72"/>
      <c r="H199" s="72"/>
      <c r="I199" s="948"/>
      <c r="J199" s="72"/>
      <c r="K199" s="72"/>
      <c r="L199" s="74"/>
      <c r="M199" s="181"/>
      <c r="N199" s="181"/>
      <c r="O199" s="950"/>
      <c r="P199" s="1022">
        <f>SUM(P200:P203)</f>
        <v>160300</v>
      </c>
      <c r="Q199" s="328"/>
      <c r="R199" s="328"/>
      <c r="S199" s="141"/>
    </row>
    <row r="200" spans="1:19">
      <c r="A200" s="299"/>
      <c r="B200" s="299"/>
      <c r="C200" s="1138" t="s">
        <v>1225</v>
      </c>
      <c r="D200" s="72"/>
      <c r="E200" s="72"/>
      <c r="F200" s="72"/>
      <c r="G200" s="72"/>
      <c r="H200" s="72"/>
      <c r="I200" s="948"/>
      <c r="J200" s="72"/>
      <c r="K200" s="72"/>
      <c r="L200" s="74"/>
      <c r="M200" s="181">
        <v>20</v>
      </c>
      <c r="N200" s="181" t="s">
        <v>33</v>
      </c>
      <c r="O200" s="950">
        <v>2500</v>
      </c>
      <c r="P200" s="1022">
        <f>O200*M200</f>
        <v>50000</v>
      </c>
      <c r="Q200" s="328"/>
      <c r="R200" s="328"/>
      <c r="S200" s="141"/>
    </row>
    <row r="201" spans="1:19">
      <c r="A201" s="299"/>
      <c r="B201" s="299"/>
      <c r="C201" s="1138" t="s">
        <v>1226</v>
      </c>
      <c r="D201" s="72"/>
      <c r="E201" s="72"/>
      <c r="F201" s="72"/>
      <c r="G201" s="72"/>
      <c r="H201" s="72"/>
      <c r="I201" s="948"/>
      <c r="J201" s="72"/>
      <c r="K201" s="72"/>
      <c r="L201" s="74"/>
      <c r="M201" s="181">
        <v>40</v>
      </c>
      <c r="N201" s="181" t="s">
        <v>17</v>
      </c>
      <c r="O201" s="950">
        <v>240</v>
      </c>
      <c r="P201" s="1022">
        <f>O201*M201</f>
        <v>9600</v>
      </c>
      <c r="Q201" s="328"/>
      <c r="R201" s="328"/>
      <c r="S201" s="141"/>
    </row>
    <row r="202" spans="1:19">
      <c r="A202" s="299"/>
      <c r="B202" s="299"/>
      <c r="C202" s="1138" t="s">
        <v>1227</v>
      </c>
      <c r="D202" s="72"/>
      <c r="E202" s="72"/>
      <c r="F202" s="72"/>
      <c r="G202" s="72"/>
      <c r="H202" s="72"/>
      <c r="I202" s="948"/>
      <c r="J202" s="72"/>
      <c r="K202" s="72"/>
      <c r="L202" s="74"/>
      <c r="M202" s="181">
        <v>20</v>
      </c>
      <c r="N202" s="181" t="s">
        <v>40</v>
      </c>
      <c r="O202" s="950">
        <v>5000</v>
      </c>
      <c r="P202" s="1022">
        <f>O202*M202</f>
        <v>100000</v>
      </c>
      <c r="Q202" s="341"/>
      <c r="R202" s="341"/>
      <c r="S202" s="141"/>
    </row>
    <row r="203" spans="1:19">
      <c r="A203" s="299"/>
      <c r="B203" s="299"/>
      <c r="C203" s="1138" t="s">
        <v>1224</v>
      </c>
      <c r="D203" s="72"/>
      <c r="E203" s="72"/>
      <c r="F203" s="72"/>
      <c r="G203" s="72"/>
      <c r="H203" s="72"/>
      <c r="I203" s="948"/>
      <c r="J203" s="72"/>
      <c r="K203" s="72"/>
      <c r="L203" s="74"/>
      <c r="M203" s="181">
        <v>10</v>
      </c>
      <c r="N203" s="181" t="s">
        <v>19</v>
      </c>
      <c r="O203" s="950">
        <v>70</v>
      </c>
      <c r="P203" s="1022">
        <f>O203*M203</f>
        <v>700</v>
      </c>
      <c r="Q203" s="331"/>
      <c r="R203" s="331"/>
      <c r="S203" s="141"/>
    </row>
    <row r="204" spans="1:19">
      <c r="A204" s="299"/>
      <c r="B204" s="299"/>
      <c r="C204" s="1138"/>
      <c r="D204" s="72"/>
      <c r="E204" s="72"/>
      <c r="F204" s="72"/>
      <c r="G204" s="72"/>
      <c r="H204" s="72"/>
      <c r="I204" s="948"/>
      <c r="J204" s="72"/>
      <c r="K204" s="72"/>
      <c r="L204" s="74"/>
      <c r="M204" s="181"/>
      <c r="N204" s="181"/>
      <c r="O204" s="950"/>
      <c r="P204" s="950"/>
      <c r="Q204" s="331"/>
      <c r="R204" s="331"/>
      <c r="S204" s="141"/>
    </row>
    <row r="205" spans="1:19">
      <c r="A205" s="299"/>
      <c r="B205" s="1431"/>
      <c r="C205" s="1141" t="s">
        <v>1422</v>
      </c>
      <c r="D205" s="72"/>
      <c r="E205" s="72"/>
      <c r="F205" s="72"/>
      <c r="G205" s="72"/>
      <c r="H205" s="72"/>
      <c r="I205" s="948"/>
      <c r="J205" s="72"/>
      <c r="K205" s="72"/>
      <c r="L205" s="74"/>
      <c r="M205" s="181"/>
      <c r="N205" s="181"/>
      <c r="O205" s="950"/>
      <c r="P205" s="1022">
        <f>SUM(P206:P216)</f>
        <v>640340</v>
      </c>
      <c r="Q205" s="342"/>
      <c r="R205" s="342"/>
      <c r="S205" s="141"/>
    </row>
    <row r="206" spans="1:19">
      <c r="A206" s="344"/>
      <c r="B206" s="1429"/>
      <c r="C206" s="1138" t="s">
        <v>1181</v>
      </c>
      <c r="D206" s="72"/>
      <c r="E206" s="72"/>
      <c r="F206" s="72"/>
      <c r="G206" s="72"/>
      <c r="H206" s="72"/>
      <c r="I206" s="948"/>
      <c r="J206" s="72"/>
      <c r="K206" s="72"/>
      <c r="L206" s="74"/>
      <c r="M206" s="181">
        <v>4</v>
      </c>
      <c r="N206" s="181" t="s">
        <v>18</v>
      </c>
      <c r="O206" s="950">
        <v>10000</v>
      </c>
      <c r="P206" s="1022">
        <f>O206*M206</f>
        <v>40000</v>
      </c>
      <c r="Q206" s="996"/>
      <c r="R206" s="996"/>
      <c r="S206" s="141"/>
    </row>
    <row r="207" spans="1:19">
      <c r="A207" s="299"/>
      <c r="B207" s="1431"/>
      <c r="C207" s="1138" t="s">
        <v>1228</v>
      </c>
      <c r="D207" s="72"/>
      <c r="E207" s="72"/>
      <c r="F207" s="72"/>
      <c r="G207" s="72"/>
      <c r="H207" s="72"/>
      <c r="I207" s="948"/>
      <c r="J207" s="72"/>
      <c r="K207" s="72"/>
      <c r="L207" s="74"/>
      <c r="M207" s="181">
        <v>210</v>
      </c>
      <c r="N207" s="181" t="s">
        <v>17</v>
      </c>
      <c r="O207" s="950">
        <v>500</v>
      </c>
      <c r="P207" s="1022">
        <f>O207*M207</f>
        <v>105000</v>
      </c>
      <c r="Q207" s="341"/>
      <c r="R207" s="341"/>
      <c r="S207" s="141"/>
    </row>
    <row r="208" spans="1:19">
      <c r="A208" s="299"/>
      <c r="B208" s="1431"/>
      <c r="C208" s="1138" t="s">
        <v>1229</v>
      </c>
      <c r="D208" s="72"/>
      <c r="E208" s="72"/>
      <c r="F208" s="72"/>
      <c r="G208" s="72"/>
      <c r="H208" s="72"/>
      <c r="I208" s="948"/>
      <c r="J208" s="72"/>
      <c r="K208" s="72"/>
      <c r="L208" s="74"/>
      <c r="M208" s="181">
        <v>420</v>
      </c>
      <c r="N208" s="181" t="s">
        <v>17</v>
      </c>
      <c r="O208" s="950">
        <v>50</v>
      </c>
      <c r="P208" s="1022">
        <f t="shared" ref="P208" si="7">O208*M208</f>
        <v>21000</v>
      </c>
      <c r="Q208" s="331"/>
      <c r="R208" s="331"/>
      <c r="S208" s="141"/>
    </row>
    <row r="209" spans="1:19">
      <c r="A209" s="299"/>
      <c r="B209" s="299"/>
      <c r="C209" s="1138" t="s">
        <v>1230</v>
      </c>
      <c r="D209" s="72"/>
      <c r="E209" s="72"/>
      <c r="F209" s="72"/>
      <c r="G209" s="72"/>
      <c r="H209" s="72"/>
      <c r="I209" s="948"/>
      <c r="J209" s="72"/>
      <c r="K209" s="72"/>
      <c r="L209" s="74"/>
      <c r="M209" s="181">
        <v>210</v>
      </c>
      <c r="N209" s="181" t="s">
        <v>19</v>
      </c>
      <c r="O209" s="950">
        <v>70</v>
      </c>
      <c r="P209" s="1022">
        <f t="shared" ref="P209:P216" si="8">O209*M209</f>
        <v>14700</v>
      </c>
      <c r="Q209" s="331"/>
      <c r="R209" s="331"/>
      <c r="S209" s="141"/>
    </row>
    <row r="210" spans="1:19">
      <c r="A210" s="299"/>
      <c r="B210" s="299"/>
      <c r="C210" s="1138" t="s">
        <v>1231</v>
      </c>
      <c r="D210" s="72"/>
      <c r="E210" s="72"/>
      <c r="F210" s="72"/>
      <c r="G210" s="72"/>
      <c r="H210" s="72"/>
      <c r="I210" s="948"/>
      <c r="J210" s="72"/>
      <c r="K210" s="72"/>
      <c r="L210" s="74"/>
      <c r="M210" s="181">
        <v>6</v>
      </c>
      <c r="N210" s="181" t="s">
        <v>33</v>
      </c>
      <c r="O210" s="950">
        <v>2500</v>
      </c>
      <c r="P210" s="1022">
        <f t="shared" si="8"/>
        <v>15000</v>
      </c>
      <c r="Q210" s="331"/>
      <c r="R210" s="331"/>
      <c r="S210" s="141"/>
    </row>
    <row r="211" spans="1:19">
      <c r="A211" s="1154"/>
      <c r="B211" s="299"/>
      <c r="C211" s="1138" t="s">
        <v>1232</v>
      </c>
      <c r="D211" s="72"/>
      <c r="E211" s="72"/>
      <c r="F211" s="72"/>
      <c r="G211" s="72"/>
      <c r="H211" s="72"/>
      <c r="I211" s="948"/>
      <c r="J211" s="72"/>
      <c r="K211" s="72"/>
      <c r="L211" s="74"/>
      <c r="M211" s="181">
        <v>42</v>
      </c>
      <c r="N211" s="181" t="s">
        <v>517</v>
      </c>
      <c r="O211" s="950">
        <v>1200</v>
      </c>
      <c r="P211" s="1022">
        <f t="shared" si="8"/>
        <v>50400</v>
      </c>
      <c r="Q211" s="331"/>
      <c r="R211" s="331"/>
      <c r="S211" s="141"/>
    </row>
    <row r="212" spans="1:19">
      <c r="A212" s="1154"/>
      <c r="B212" s="299"/>
      <c r="C212" s="1138" t="s">
        <v>1233</v>
      </c>
      <c r="D212" s="72"/>
      <c r="E212" s="72"/>
      <c r="F212" s="72"/>
      <c r="G212" s="72"/>
      <c r="H212" s="72"/>
      <c r="I212" s="948"/>
      <c r="J212" s="72"/>
      <c r="K212" s="72"/>
      <c r="L212" s="74"/>
      <c r="M212" s="181">
        <v>40</v>
      </c>
      <c r="N212" s="181" t="s">
        <v>40</v>
      </c>
      <c r="O212" s="950">
        <v>5000</v>
      </c>
      <c r="P212" s="1022">
        <f t="shared" si="8"/>
        <v>200000</v>
      </c>
      <c r="Q212" s="331"/>
      <c r="R212" s="331"/>
      <c r="S212" s="141"/>
    </row>
    <row r="213" spans="1:19">
      <c r="A213" s="1154"/>
      <c r="B213" s="299"/>
      <c r="C213" s="1138" t="s">
        <v>1234</v>
      </c>
      <c r="D213" s="72"/>
      <c r="E213" s="72"/>
      <c r="F213" s="72"/>
      <c r="G213" s="72"/>
      <c r="H213" s="72"/>
      <c r="I213" s="948"/>
      <c r="J213" s="72"/>
      <c r="K213" s="72"/>
      <c r="L213" s="74"/>
      <c r="M213" s="181">
        <v>96</v>
      </c>
      <c r="N213" s="181" t="s">
        <v>17</v>
      </c>
      <c r="O213" s="950">
        <v>240</v>
      </c>
      <c r="P213" s="1022">
        <f t="shared" si="8"/>
        <v>23040</v>
      </c>
      <c r="Q213" s="991"/>
      <c r="R213" s="991"/>
      <c r="S213" s="141"/>
    </row>
    <row r="214" spans="1:19">
      <c r="A214" s="1154"/>
      <c r="B214" s="299"/>
      <c r="C214" s="1138" t="s">
        <v>1235</v>
      </c>
      <c r="D214" s="72"/>
      <c r="E214" s="72"/>
      <c r="F214" s="72"/>
      <c r="G214" s="72"/>
      <c r="H214" s="72"/>
      <c r="I214" s="948"/>
      <c r="J214" s="72"/>
      <c r="K214" s="72"/>
      <c r="L214" s="74"/>
      <c r="M214" s="181">
        <v>96</v>
      </c>
      <c r="N214" s="181" t="s">
        <v>25</v>
      </c>
      <c r="O214" s="950">
        <v>1200</v>
      </c>
      <c r="P214" s="1022">
        <f t="shared" si="8"/>
        <v>115200</v>
      </c>
      <c r="Q214" s="336"/>
      <c r="R214" s="336"/>
      <c r="S214" s="141"/>
    </row>
    <row r="215" spans="1:19">
      <c r="A215" s="299"/>
      <c r="B215" s="299"/>
      <c r="C215" s="1138" t="s">
        <v>1236</v>
      </c>
      <c r="D215" s="72"/>
      <c r="E215" s="72"/>
      <c r="F215" s="72"/>
      <c r="G215" s="72"/>
      <c r="H215" s="72"/>
      <c r="I215" s="948"/>
      <c r="J215" s="72"/>
      <c r="K215" s="72"/>
      <c r="L215" s="74"/>
      <c r="M215" s="181">
        <v>72</v>
      </c>
      <c r="N215" s="181" t="s">
        <v>25</v>
      </c>
      <c r="O215" s="950">
        <v>500</v>
      </c>
      <c r="P215" s="1022">
        <f t="shared" si="8"/>
        <v>36000</v>
      </c>
      <c r="Q215" s="327"/>
      <c r="R215" s="327"/>
      <c r="S215" s="141"/>
    </row>
    <row r="216" spans="1:19">
      <c r="A216" s="299"/>
      <c r="B216" s="299"/>
      <c r="C216" s="1138" t="s">
        <v>1237</v>
      </c>
      <c r="D216" s="72"/>
      <c r="E216" s="72"/>
      <c r="F216" s="72"/>
      <c r="G216" s="72"/>
      <c r="H216" s="72"/>
      <c r="I216" s="948"/>
      <c r="J216" s="72"/>
      <c r="K216" s="72"/>
      <c r="L216" s="74"/>
      <c r="M216" s="181">
        <v>4</v>
      </c>
      <c r="N216" s="181" t="s">
        <v>18</v>
      </c>
      <c r="O216" s="950">
        <v>5000</v>
      </c>
      <c r="P216" s="1022">
        <f t="shared" si="8"/>
        <v>20000</v>
      </c>
      <c r="Q216" s="327"/>
      <c r="R216" s="266"/>
      <c r="S216" s="141"/>
    </row>
    <row r="217" spans="1:19">
      <c r="A217" s="299"/>
      <c r="B217" s="299"/>
      <c r="C217" s="1137" t="s">
        <v>1423</v>
      </c>
      <c r="D217" s="72"/>
      <c r="E217" s="72"/>
      <c r="F217" s="72"/>
      <c r="G217" s="72"/>
      <c r="H217" s="72"/>
      <c r="I217" s="948"/>
      <c r="J217" s="72"/>
      <c r="K217" s="72"/>
      <c r="L217" s="74"/>
      <c r="M217" s="181"/>
      <c r="N217" s="181"/>
      <c r="O217" s="950"/>
      <c r="P217" s="1022">
        <f>SUM(P218:P228)</f>
        <v>230600</v>
      </c>
      <c r="Q217" s="328"/>
      <c r="R217" s="328"/>
      <c r="S217" s="141"/>
    </row>
    <row r="218" spans="1:19">
      <c r="A218" s="299"/>
      <c r="B218" s="299"/>
      <c r="C218" s="1138" t="s">
        <v>1238</v>
      </c>
      <c r="D218" s="72"/>
      <c r="E218" s="72"/>
      <c r="F218" s="72"/>
      <c r="G218" s="72"/>
      <c r="H218" s="72"/>
      <c r="I218" s="948"/>
      <c r="J218" s="72"/>
      <c r="K218" s="72"/>
      <c r="L218" s="74"/>
      <c r="M218" s="181">
        <v>50</v>
      </c>
      <c r="N218" s="181" t="s">
        <v>17</v>
      </c>
      <c r="O218" s="950">
        <v>500</v>
      </c>
      <c r="P218" s="1022">
        <f>O218*M218</f>
        <v>25000</v>
      </c>
      <c r="Q218" s="996"/>
      <c r="R218" s="996"/>
      <c r="S218" s="141"/>
    </row>
    <row r="219" spans="1:19">
      <c r="A219" s="299"/>
      <c r="B219" s="299"/>
      <c r="C219" s="1138" t="s">
        <v>1239</v>
      </c>
      <c r="D219" s="72"/>
      <c r="E219" s="72"/>
      <c r="F219" s="72"/>
      <c r="G219" s="72"/>
      <c r="H219" s="72"/>
      <c r="I219" s="948"/>
      <c r="J219" s="72"/>
      <c r="K219" s="72"/>
      <c r="L219" s="74"/>
      <c r="M219" s="181">
        <v>50</v>
      </c>
      <c r="N219" s="181" t="s">
        <v>17</v>
      </c>
      <c r="O219" s="950">
        <v>800</v>
      </c>
      <c r="P219" s="1022">
        <f t="shared" ref="P219:P228" si="9">O219*M219</f>
        <v>40000</v>
      </c>
      <c r="Q219" s="986"/>
      <c r="R219" s="986"/>
      <c r="S219" s="141"/>
    </row>
    <row r="220" spans="1:19">
      <c r="A220" s="299"/>
      <c r="B220" s="299"/>
      <c r="C220" s="1138" t="s">
        <v>1240</v>
      </c>
      <c r="D220" s="72"/>
      <c r="E220" s="72"/>
      <c r="F220" s="72"/>
      <c r="G220" s="72"/>
      <c r="H220" s="72"/>
      <c r="I220" s="948"/>
      <c r="J220" s="72"/>
      <c r="K220" s="72"/>
      <c r="L220" s="74"/>
      <c r="M220" s="181">
        <v>200</v>
      </c>
      <c r="N220" s="181" t="s">
        <v>17</v>
      </c>
      <c r="O220" s="950">
        <v>50</v>
      </c>
      <c r="P220" s="1022">
        <f t="shared" si="9"/>
        <v>10000</v>
      </c>
      <c r="Q220" s="986"/>
      <c r="R220" s="986"/>
      <c r="S220" s="141"/>
    </row>
    <row r="221" spans="1:19">
      <c r="A221" s="299"/>
      <c r="B221" s="299"/>
      <c r="C221" s="1138" t="s">
        <v>1241</v>
      </c>
      <c r="D221" s="72"/>
      <c r="E221" s="72"/>
      <c r="F221" s="72"/>
      <c r="G221" s="72"/>
      <c r="H221" s="72"/>
      <c r="I221" s="948"/>
      <c r="J221" s="72"/>
      <c r="K221" s="72"/>
      <c r="L221" s="74"/>
      <c r="M221" s="181">
        <v>50</v>
      </c>
      <c r="N221" s="181" t="s">
        <v>19</v>
      </c>
      <c r="O221" s="950">
        <v>70</v>
      </c>
      <c r="P221" s="1022">
        <f t="shared" si="9"/>
        <v>3500</v>
      </c>
      <c r="Q221" s="986"/>
      <c r="R221" s="986"/>
      <c r="S221" s="141"/>
    </row>
    <row r="222" spans="1:19">
      <c r="A222" s="299"/>
      <c r="B222" s="299"/>
      <c r="C222" s="1138" t="s">
        <v>1242</v>
      </c>
      <c r="D222" s="72"/>
      <c r="E222" s="72"/>
      <c r="F222" s="72"/>
      <c r="G222" s="72"/>
      <c r="H222" s="72"/>
      <c r="I222" s="948"/>
      <c r="J222" s="72"/>
      <c r="K222" s="72"/>
      <c r="L222" s="74"/>
      <c r="M222" s="181">
        <v>8</v>
      </c>
      <c r="N222" s="181" t="s">
        <v>33</v>
      </c>
      <c r="O222" s="950">
        <v>2500</v>
      </c>
      <c r="P222" s="1022">
        <f t="shared" si="9"/>
        <v>20000</v>
      </c>
      <c r="Q222" s="986"/>
      <c r="R222" s="986"/>
      <c r="S222" s="141"/>
    </row>
    <row r="223" spans="1:19">
      <c r="A223" s="299"/>
      <c r="B223" s="299"/>
      <c r="C223" s="1138" t="s">
        <v>1243</v>
      </c>
      <c r="D223" s="72"/>
      <c r="E223" s="72"/>
      <c r="F223" s="72"/>
      <c r="G223" s="72"/>
      <c r="H223" s="72"/>
      <c r="I223" s="948"/>
      <c r="J223" s="72"/>
      <c r="K223" s="72"/>
      <c r="L223" s="74"/>
      <c r="M223" s="181">
        <v>28</v>
      </c>
      <c r="N223" s="181" t="s">
        <v>517</v>
      </c>
      <c r="O223" s="950">
        <v>1200</v>
      </c>
      <c r="P223" s="1022">
        <f t="shared" si="9"/>
        <v>33600</v>
      </c>
      <c r="Q223" s="341"/>
      <c r="R223" s="341"/>
      <c r="S223" s="141"/>
    </row>
    <row r="224" spans="1:19">
      <c r="A224" s="299"/>
      <c r="B224" s="299"/>
      <c r="C224" s="1138" t="s">
        <v>1244</v>
      </c>
      <c r="D224" s="72"/>
      <c r="E224" s="72"/>
      <c r="F224" s="72"/>
      <c r="G224" s="72"/>
      <c r="H224" s="72"/>
      <c r="I224" s="948"/>
      <c r="J224" s="72"/>
      <c r="K224" s="72"/>
      <c r="L224" s="74"/>
      <c r="M224" s="181">
        <v>50</v>
      </c>
      <c r="N224" s="181" t="s">
        <v>25</v>
      </c>
      <c r="O224" s="950">
        <v>750</v>
      </c>
      <c r="P224" s="1022">
        <f t="shared" si="9"/>
        <v>37500</v>
      </c>
      <c r="Q224" s="331"/>
      <c r="R224" s="331"/>
      <c r="S224" s="387"/>
    </row>
    <row r="225" spans="1:19">
      <c r="A225" s="299"/>
      <c r="B225" s="299"/>
      <c r="C225" s="1138" t="s">
        <v>1245</v>
      </c>
      <c r="D225" s="72"/>
      <c r="E225" s="72"/>
      <c r="F225" s="72"/>
      <c r="G225" s="72"/>
      <c r="H225" s="72"/>
      <c r="I225" s="948"/>
      <c r="J225" s="72"/>
      <c r="K225" s="72"/>
      <c r="L225" s="74"/>
      <c r="M225" s="181">
        <v>4</v>
      </c>
      <c r="N225" s="181" t="s">
        <v>19</v>
      </c>
      <c r="O225" s="950">
        <v>1500</v>
      </c>
      <c r="P225" s="1022">
        <f t="shared" si="9"/>
        <v>6000</v>
      </c>
      <c r="Q225" s="331"/>
      <c r="R225" s="331"/>
      <c r="S225" s="143"/>
    </row>
    <row r="226" spans="1:19">
      <c r="A226" s="299"/>
      <c r="B226" s="299"/>
      <c r="C226" s="1138" t="s">
        <v>1181</v>
      </c>
      <c r="D226" s="72"/>
      <c r="E226" s="72"/>
      <c r="F226" s="72"/>
      <c r="G226" s="72"/>
      <c r="H226" s="72"/>
      <c r="I226" s="948"/>
      <c r="J226" s="72"/>
      <c r="K226" s="72"/>
      <c r="L226" s="74"/>
      <c r="M226" s="181">
        <v>2</v>
      </c>
      <c r="N226" s="181" t="s">
        <v>18</v>
      </c>
      <c r="O226" s="950">
        <v>10000</v>
      </c>
      <c r="P226" s="1022">
        <f t="shared" si="9"/>
        <v>20000</v>
      </c>
      <c r="Q226" s="342"/>
      <c r="R226" s="342"/>
      <c r="S226" s="143"/>
    </row>
    <row r="227" spans="1:19">
      <c r="A227" s="299"/>
      <c r="B227" s="299"/>
      <c r="C227" s="1138" t="s">
        <v>1246</v>
      </c>
      <c r="D227" s="72"/>
      <c r="E227" s="72"/>
      <c r="F227" s="72"/>
      <c r="G227" s="72"/>
      <c r="H227" s="72"/>
      <c r="I227" s="948"/>
      <c r="J227" s="72"/>
      <c r="K227" s="72"/>
      <c r="L227" s="74"/>
      <c r="M227" s="181">
        <v>50</v>
      </c>
      <c r="N227" s="181" t="s">
        <v>25</v>
      </c>
      <c r="O227" s="950">
        <v>500</v>
      </c>
      <c r="P227" s="1022">
        <f t="shared" si="9"/>
        <v>25000</v>
      </c>
      <c r="Q227" s="341"/>
      <c r="R227" s="341"/>
      <c r="S227" s="143"/>
    </row>
    <row r="228" spans="1:19">
      <c r="A228" s="299"/>
      <c r="B228" s="299"/>
      <c r="C228" s="1138" t="s">
        <v>1237</v>
      </c>
      <c r="D228" s="72"/>
      <c r="E228" s="72"/>
      <c r="F228" s="72"/>
      <c r="G228" s="72"/>
      <c r="H228" s="72"/>
      <c r="I228" s="948"/>
      <c r="J228" s="72"/>
      <c r="K228" s="72"/>
      <c r="L228" s="74"/>
      <c r="M228" s="181">
        <v>2</v>
      </c>
      <c r="N228" s="181" t="s">
        <v>18</v>
      </c>
      <c r="O228" s="950">
        <v>5000</v>
      </c>
      <c r="P228" s="1022">
        <f t="shared" si="9"/>
        <v>10000</v>
      </c>
      <c r="Q228" s="996"/>
      <c r="R228" s="996"/>
      <c r="S228" s="143"/>
    </row>
    <row r="229" spans="1:19">
      <c r="A229" s="299"/>
      <c r="B229" s="299"/>
      <c r="C229" s="1132" t="s">
        <v>1320</v>
      </c>
      <c r="D229" s="72"/>
      <c r="E229" s="72"/>
      <c r="F229" s="72"/>
      <c r="G229" s="72"/>
      <c r="H229" s="72"/>
      <c r="I229" s="948"/>
      <c r="J229" s="72"/>
      <c r="K229" s="72"/>
      <c r="L229" s="74"/>
      <c r="M229" s="181"/>
      <c r="N229" s="181"/>
      <c r="O229" s="950"/>
      <c r="P229" s="1026"/>
      <c r="Q229" s="331"/>
      <c r="R229" s="331"/>
      <c r="S229" s="143"/>
    </row>
    <row r="230" spans="1:19" ht="17.25" customHeight="1">
      <c r="A230" s="299"/>
      <c r="B230" s="299"/>
      <c r="C230" s="1133" t="s">
        <v>1315</v>
      </c>
      <c r="D230" s="108"/>
      <c r="E230" s="108"/>
      <c r="F230" s="108"/>
      <c r="G230" s="108"/>
      <c r="H230" s="108"/>
      <c r="I230" s="108"/>
      <c r="J230" s="108"/>
      <c r="K230" s="108"/>
      <c r="L230" s="107"/>
      <c r="M230" s="107"/>
      <c r="N230" s="107"/>
      <c r="O230" s="1017"/>
      <c r="P230" s="187">
        <f>SUM(P231+P241+P249+P254+P262)</f>
        <v>1282000</v>
      </c>
      <c r="Q230" s="331"/>
      <c r="R230" s="331"/>
      <c r="S230" s="143"/>
    </row>
    <row r="231" spans="1:19" ht="17.25" customHeight="1">
      <c r="A231" s="299"/>
      <c r="B231" s="299"/>
      <c r="C231" s="1122" t="s">
        <v>1424</v>
      </c>
      <c r="D231" s="108"/>
      <c r="E231" s="108"/>
      <c r="F231" s="108"/>
      <c r="G231" s="108"/>
      <c r="H231" s="108"/>
      <c r="I231" s="108"/>
      <c r="J231" s="108"/>
      <c r="K231" s="108"/>
      <c r="L231" s="107"/>
      <c r="M231" s="107"/>
      <c r="N231" s="107"/>
      <c r="O231" s="1017"/>
      <c r="P231" s="187">
        <f>SUM(P232+P236+P237+P240)</f>
        <v>448200</v>
      </c>
      <c r="Q231" s="331"/>
      <c r="R231" s="331"/>
      <c r="S231" s="143"/>
    </row>
    <row r="232" spans="1:19" ht="17.25" customHeight="1">
      <c r="A232" s="299"/>
      <c r="B232" s="299"/>
      <c r="C232" s="1127" t="s">
        <v>1321</v>
      </c>
      <c r="D232" s="108"/>
      <c r="E232" s="108"/>
      <c r="F232" s="108"/>
      <c r="G232" s="108"/>
      <c r="H232" s="108"/>
      <c r="I232" s="108"/>
      <c r="J232" s="108"/>
      <c r="K232" s="108"/>
      <c r="L232" s="107"/>
      <c r="M232" s="107"/>
      <c r="N232" s="107"/>
      <c r="O232" s="1017"/>
      <c r="P232" s="1028">
        <f>SUM(P233:P235)</f>
        <v>28200</v>
      </c>
      <c r="Q232" s="331"/>
      <c r="R232" s="331"/>
      <c r="S232" s="143"/>
    </row>
    <row r="233" spans="1:19" ht="17.25" customHeight="1">
      <c r="A233" s="344"/>
      <c r="B233" s="344"/>
      <c r="C233" s="1127" t="s">
        <v>1325</v>
      </c>
      <c r="D233" s="108"/>
      <c r="E233" s="108"/>
      <c r="F233" s="108"/>
      <c r="G233" s="108"/>
      <c r="H233" s="108"/>
      <c r="I233" s="108"/>
      <c r="J233" s="108"/>
      <c r="K233" s="108"/>
      <c r="L233" s="107"/>
      <c r="M233" s="107"/>
      <c r="N233" s="107">
        <v>10</v>
      </c>
      <c r="O233" s="1012">
        <v>1200</v>
      </c>
      <c r="P233" s="187">
        <f>O233*N233</f>
        <v>12000</v>
      </c>
      <c r="Q233" s="996"/>
      <c r="R233" s="996"/>
      <c r="S233" s="143"/>
    </row>
    <row r="234" spans="1:19" ht="17.25" customHeight="1">
      <c r="A234" s="299"/>
      <c r="B234" s="299"/>
      <c r="C234" s="1127" t="s">
        <v>1324</v>
      </c>
      <c r="D234" s="108"/>
      <c r="E234" s="108"/>
      <c r="F234" s="108"/>
      <c r="G234" s="108"/>
      <c r="H234" s="108"/>
      <c r="I234" s="108"/>
      <c r="J234" s="108"/>
      <c r="K234" s="108"/>
      <c r="L234" s="107"/>
      <c r="M234" s="107"/>
      <c r="N234" s="107"/>
      <c r="O234" s="1012">
        <v>12000</v>
      </c>
      <c r="P234" s="187">
        <f>O234</f>
        <v>12000</v>
      </c>
      <c r="Q234" s="986"/>
      <c r="R234" s="986"/>
      <c r="S234" s="143"/>
    </row>
    <row r="235" spans="1:19" ht="17.25" customHeight="1">
      <c r="A235" s="299"/>
      <c r="B235" s="299"/>
      <c r="C235" s="1127" t="s">
        <v>1326</v>
      </c>
      <c r="D235" s="108"/>
      <c r="E235" s="108"/>
      <c r="F235" s="108"/>
      <c r="G235" s="108"/>
      <c r="H235" s="108"/>
      <c r="I235" s="108"/>
      <c r="J235" s="108"/>
      <c r="K235" s="108"/>
      <c r="L235" s="107"/>
      <c r="M235" s="107"/>
      <c r="N235" s="107"/>
      <c r="O235" s="1012">
        <v>4200</v>
      </c>
      <c r="P235" s="187">
        <f>O235</f>
        <v>4200</v>
      </c>
      <c r="Q235" s="986"/>
      <c r="R235" s="986"/>
      <c r="S235" s="143"/>
    </row>
    <row r="236" spans="1:19" ht="17.25" customHeight="1">
      <c r="A236" s="299"/>
      <c r="B236" s="299"/>
      <c r="C236" s="1127" t="s">
        <v>1322</v>
      </c>
      <c r="D236" s="108"/>
      <c r="E236" s="108"/>
      <c r="F236" s="108"/>
      <c r="G236" s="108"/>
      <c r="H236" s="108"/>
      <c r="I236" s="108"/>
      <c r="J236" s="108"/>
      <c r="K236" s="108"/>
      <c r="L236" s="107"/>
      <c r="M236" s="107"/>
      <c r="N236" s="107"/>
      <c r="O236" s="1012">
        <v>50000</v>
      </c>
      <c r="P236" s="187">
        <f>O236</f>
        <v>50000</v>
      </c>
      <c r="Q236" s="986"/>
      <c r="R236" s="986"/>
      <c r="S236" s="143"/>
    </row>
    <row r="237" spans="1:19" ht="17.25" customHeight="1">
      <c r="A237" s="299"/>
      <c r="B237" s="299"/>
      <c r="C237" s="1127" t="s">
        <v>1323</v>
      </c>
      <c r="D237" s="108"/>
      <c r="E237" s="108"/>
      <c r="F237" s="108"/>
      <c r="G237" s="108"/>
      <c r="H237" s="108"/>
      <c r="I237" s="108"/>
      <c r="J237" s="108"/>
      <c r="K237" s="108"/>
      <c r="L237" s="107"/>
      <c r="M237" s="107"/>
      <c r="N237" s="107"/>
      <c r="O237" s="1012">
        <v>120000</v>
      </c>
      <c r="P237" s="187">
        <f>O237</f>
        <v>120000</v>
      </c>
      <c r="Q237" s="986"/>
      <c r="R237" s="986"/>
      <c r="S237" s="143"/>
    </row>
    <row r="238" spans="1:19" ht="17.25" customHeight="1">
      <c r="A238" s="299"/>
      <c r="B238" s="299"/>
      <c r="C238" s="1127" t="s">
        <v>1247</v>
      </c>
      <c r="D238" s="108"/>
      <c r="E238" s="108"/>
      <c r="F238" s="108"/>
      <c r="G238" s="108"/>
      <c r="H238" s="108"/>
      <c r="I238" s="108"/>
      <c r="J238" s="108"/>
      <c r="K238" s="108"/>
      <c r="L238" s="107"/>
      <c r="M238" s="107"/>
      <c r="N238" s="107"/>
      <c r="O238" s="1017"/>
      <c r="P238" s="1029"/>
      <c r="Q238" s="341"/>
      <c r="R238" s="341"/>
      <c r="S238" s="143"/>
    </row>
    <row r="239" spans="1:19" ht="17.25" customHeight="1">
      <c r="A239" s="299"/>
      <c r="B239" s="299"/>
      <c r="C239" s="1127" t="s">
        <v>1248</v>
      </c>
      <c r="D239" s="108"/>
      <c r="E239" s="108"/>
      <c r="F239" s="108"/>
      <c r="G239" s="108"/>
      <c r="H239" s="108"/>
      <c r="I239" s="108"/>
      <c r="J239" s="108"/>
      <c r="K239" s="108"/>
      <c r="L239" s="107"/>
      <c r="M239" s="107"/>
      <c r="N239" s="107"/>
      <c r="O239" s="1017"/>
      <c r="P239" s="1029"/>
      <c r="Q239" s="331"/>
      <c r="R239" s="331"/>
      <c r="S239" s="143"/>
    </row>
    <row r="240" spans="1:19" ht="17.25" customHeight="1">
      <c r="A240" s="299"/>
      <c r="B240" s="299"/>
      <c r="C240" s="1127" t="s">
        <v>1335</v>
      </c>
      <c r="D240" s="108"/>
      <c r="E240" s="108"/>
      <c r="F240" s="108"/>
      <c r="G240" s="108"/>
      <c r="H240" s="108"/>
      <c r="I240" s="108"/>
      <c r="J240" s="108"/>
      <c r="K240" s="108"/>
      <c r="L240" s="107"/>
      <c r="M240" s="107"/>
      <c r="N240" s="107"/>
      <c r="O240" s="1012">
        <v>250000</v>
      </c>
      <c r="P240" s="187">
        <f>O240</f>
        <v>250000</v>
      </c>
      <c r="Q240" s="331"/>
      <c r="R240" s="331"/>
      <c r="S240" s="72"/>
    </row>
    <row r="241" spans="1:19" ht="17.25" customHeight="1">
      <c r="A241" s="299"/>
      <c r="B241" s="299"/>
      <c r="C241" s="1122" t="s">
        <v>1425</v>
      </c>
      <c r="D241" s="108"/>
      <c r="E241" s="108"/>
      <c r="F241" s="108"/>
      <c r="G241" s="108"/>
      <c r="H241" s="108"/>
      <c r="I241" s="108"/>
      <c r="J241" s="108"/>
      <c r="K241" s="108"/>
      <c r="L241" s="107"/>
      <c r="M241" s="107"/>
      <c r="N241" s="107"/>
      <c r="O241" s="1017"/>
      <c r="P241" s="1028">
        <f>SUM(P242:P247)</f>
        <v>146800</v>
      </c>
      <c r="Q241" s="1006"/>
      <c r="R241" s="1006"/>
      <c r="S241" s="72"/>
    </row>
    <row r="242" spans="1:19" ht="17.25" customHeight="1">
      <c r="A242" s="299"/>
      <c r="B242" s="299"/>
      <c r="C242" s="1127" t="s">
        <v>1327</v>
      </c>
      <c r="D242" s="108"/>
      <c r="E242" s="108"/>
      <c r="F242" s="108"/>
      <c r="G242" s="108"/>
      <c r="H242" s="108"/>
      <c r="I242" s="108"/>
      <c r="J242" s="108"/>
      <c r="K242" s="108"/>
      <c r="L242" s="107"/>
      <c r="M242" s="107"/>
      <c r="N242" s="107"/>
      <c r="O242" s="1012">
        <v>25600</v>
      </c>
      <c r="P242" s="187">
        <f t="shared" ref="P242:P247" si="10">O242</f>
        <v>25600</v>
      </c>
      <c r="Q242" s="72"/>
      <c r="R242" s="72"/>
      <c r="S242" s="72"/>
    </row>
    <row r="243" spans="1:19" ht="17.25" customHeight="1">
      <c r="A243" s="299"/>
      <c r="B243" s="299"/>
      <c r="C243" s="1127" t="s">
        <v>1330</v>
      </c>
      <c r="D243" s="108"/>
      <c r="E243" s="108"/>
      <c r="F243" s="108"/>
      <c r="G243" s="108"/>
      <c r="H243" s="108"/>
      <c r="I243" s="108"/>
      <c r="J243" s="108"/>
      <c r="K243" s="108"/>
      <c r="L243" s="107"/>
      <c r="M243" s="107"/>
      <c r="N243" s="107"/>
      <c r="O243" s="1012">
        <v>48000</v>
      </c>
      <c r="P243" s="187">
        <f t="shared" si="10"/>
        <v>48000</v>
      </c>
      <c r="Q243" s="72"/>
      <c r="R243" s="72"/>
      <c r="S243" s="72"/>
    </row>
    <row r="244" spans="1:19" ht="17.25" customHeight="1">
      <c r="A244" s="299"/>
      <c r="B244" s="299"/>
      <c r="C244" s="1127" t="s">
        <v>1328</v>
      </c>
      <c r="D244" s="108"/>
      <c r="E244" s="108"/>
      <c r="F244" s="108"/>
      <c r="G244" s="108"/>
      <c r="H244" s="108"/>
      <c r="I244" s="108"/>
      <c r="J244" s="108"/>
      <c r="K244" s="108"/>
      <c r="L244" s="107"/>
      <c r="M244" s="107"/>
      <c r="N244" s="107"/>
      <c r="O244" s="1012">
        <v>16000</v>
      </c>
      <c r="P244" s="187">
        <f t="shared" si="10"/>
        <v>16000</v>
      </c>
      <c r="Q244" s="1115"/>
      <c r="R244" s="1115"/>
      <c r="S244" s="72"/>
    </row>
    <row r="245" spans="1:19" ht="17.25" customHeight="1">
      <c r="A245" s="299"/>
      <c r="B245" s="299"/>
      <c r="C245" s="1127" t="s">
        <v>1329</v>
      </c>
      <c r="D245" s="108"/>
      <c r="E245" s="108"/>
      <c r="F245" s="108"/>
      <c r="G245" s="108"/>
      <c r="H245" s="108"/>
      <c r="I245" s="108"/>
      <c r="J245" s="108"/>
      <c r="K245" s="108"/>
      <c r="L245" s="107"/>
      <c r="M245" s="107"/>
      <c r="N245" s="107"/>
      <c r="O245" s="1012">
        <v>25000</v>
      </c>
      <c r="P245" s="187">
        <f t="shared" si="10"/>
        <v>25000</v>
      </c>
      <c r="Q245" s="1115"/>
      <c r="R245" s="1115"/>
      <c r="S245" s="143"/>
    </row>
    <row r="246" spans="1:19" ht="17.25" customHeight="1">
      <c r="A246" s="299"/>
      <c r="B246" s="299"/>
      <c r="C246" s="1127" t="s">
        <v>1331</v>
      </c>
      <c r="D246" s="108"/>
      <c r="E246" s="108"/>
      <c r="F246" s="108"/>
      <c r="G246" s="108"/>
      <c r="H246" s="108"/>
      <c r="I246" s="108"/>
      <c r="J246" s="108"/>
      <c r="K246" s="108"/>
      <c r="L246" s="107"/>
      <c r="M246" s="107"/>
      <c r="N246" s="107"/>
      <c r="O246" s="1012">
        <v>20000</v>
      </c>
      <c r="P246" s="187">
        <f t="shared" si="10"/>
        <v>20000</v>
      </c>
      <c r="Q246" s="1115"/>
      <c r="R246" s="1115"/>
      <c r="S246" s="143"/>
    </row>
    <row r="247" spans="1:19" ht="17.25" customHeight="1">
      <c r="A247" s="299"/>
      <c r="B247" s="299"/>
      <c r="C247" s="1127" t="s">
        <v>1332</v>
      </c>
      <c r="D247" s="108"/>
      <c r="E247" s="108"/>
      <c r="F247" s="108"/>
      <c r="G247" s="108"/>
      <c r="H247" s="108"/>
      <c r="I247" s="108"/>
      <c r="J247" s="108"/>
      <c r="K247" s="108"/>
      <c r="L247" s="107"/>
      <c r="M247" s="107"/>
      <c r="N247" s="107"/>
      <c r="O247" s="1012">
        <v>12200</v>
      </c>
      <c r="P247" s="187">
        <f t="shared" si="10"/>
        <v>12200</v>
      </c>
      <c r="Q247" s="1115"/>
      <c r="R247" s="1115"/>
      <c r="S247" s="143"/>
    </row>
    <row r="248" spans="1:19" ht="17.25" customHeight="1">
      <c r="A248" s="299"/>
      <c r="B248" s="299"/>
      <c r="C248" s="1122" t="s">
        <v>1426</v>
      </c>
      <c r="D248" s="108"/>
      <c r="E248" s="108"/>
      <c r="F248" s="108"/>
      <c r="G248" s="108"/>
      <c r="H248" s="108"/>
      <c r="I248" s="108"/>
      <c r="J248" s="108"/>
      <c r="K248" s="108"/>
      <c r="L248" s="107"/>
      <c r="M248" s="107"/>
      <c r="N248" s="107"/>
      <c r="O248" s="1017"/>
      <c r="P248" s="1029"/>
      <c r="Q248" s="1115"/>
      <c r="R248" s="1115"/>
      <c r="S248" s="143"/>
    </row>
    <row r="249" spans="1:19" ht="17.25" customHeight="1">
      <c r="A249" s="299"/>
      <c r="B249" s="299"/>
      <c r="C249" s="1122" t="s">
        <v>1249</v>
      </c>
      <c r="D249" s="108"/>
      <c r="E249" s="108"/>
      <c r="F249" s="108"/>
      <c r="G249" s="108"/>
      <c r="H249" s="108"/>
      <c r="I249" s="108"/>
      <c r="J249" s="108"/>
      <c r="K249" s="108"/>
      <c r="L249" s="107"/>
      <c r="M249" s="107"/>
      <c r="N249" s="107"/>
      <c r="O249" s="1017"/>
      <c r="P249" s="1028">
        <f>SUM(P250:P252)</f>
        <v>395000</v>
      </c>
      <c r="Q249" s="1115"/>
      <c r="R249" s="1115"/>
      <c r="S249" s="143"/>
    </row>
    <row r="250" spans="1:19" ht="17.25" customHeight="1">
      <c r="A250" s="299"/>
      <c r="B250" s="299"/>
      <c r="C250" s="1127" t="s">
        <v>1329</v>
      </c>
      <c r="D250" s="108"/>
      <c r="E250" s="108"/>
      <c r="F250" s="108"/>
      <c r="G250" s="108"/>
      <c r="H250" s="108"/>
      <c r="I250" s="108"/>
      <c r="J250" s="108"/>
      <c r="K250" s="108"/>
      <c r="L250" s="107"/>
      <c r="M250" s="107"/>
      <c r="N250" s="107"/>
      <c r="O250" s="1012">
        <v>75000</v>
      </c>
      <c r="P250" s="187">
        <f>O250</f>
        <v>75000</v>
      </c>
      <c r="Q250" s="1115"/>
      <c r="R250" s="1115"/>
      <c r="S250" s="143"/>
    </row>
    <row r="251" spans="1:19" ht="17.25" customHeight="1">
      <c r="A251" s="299"/>
      <c r="B251" s="299"/>
      <c r="C251" s="1127" t="s">
        <v>1333</v>
      </c>
      <c r="D251" s="108"/>
      <c r="E251" s="108"/>
      <c r="F251" s="108"/>
      <c r="G251" s="108"/>
      <c r="H251" s="108"/>
      <c r="I251" s="108"/>
      <c r="J251" s="108"/>
      <c r="K251" s="108"/>
      <c r="L251" s="107"/>
      <c r="M251" s="107"/>
      <c r="N251" s="107"/>
      <c r="O251" s="1012">
        <v>240000</v>
      </c>
      <c r="P251" s="187">
        <f>O251</f>
        <v>240000</v>
      </c>
      <c r="Q251" s="1115"/>
      <c r="R251" s="1115"/>
      <c r="S251" s="1125"/>
    </row>
    <row r="252" spans="1:19" ht="17.25" customHeight="1">
      <c r="A252" s="299"/>
      <c r="B252" s="299"/>
      <c r="C252" s="1127" t="s">
        <v>1334</v>
      </c>
      <c r="D252" s="108"/>
      <c r="E252" s="108"/>
      <c r="F252" s="108"/>
      <c r="G252" s="108"/>
      <c r="H252" s="108"/>
      <c r="I252" s="108"/>
      <c r="J252" s="108"/>
      <c r="K252" s="108"/>
      <c r="L252" s="107"/>
      <c r="M252" s="107"/>
      <c r="N252" s="107"/>
      <c r="O252" s="1012">
        <v>80000</v>
      </c>
      <c r="P252" s="187">
        <f>O252</f>
        <v>80000</v>
      </c>
      <c r="Q252" s="1115"/>
      <c r="R252" s="1115"/>
      <c r="S252" s="72"/>
    </row>
    <row r="253" spans="1:19" ht="17.25" customHeight="1">
      <c r="A253" s="299"/>
      <c r="B253" s="299"/>
      <c r="C253" s="1122" t="s">
        <v>1427</v>
      </c>
      <c r="D253" s="108"/>
      <c r="E253" s="108"/>
      <c r="F253" s="108"/>
      <c r="G253" s="108"/>
      <c r="H253" s="108"/>
      <c r="I253" s="108"/>
      <c r="J253" s="108"/>
      <c r="K253" s="108"/>
      <c r="L253" s="107"/>
      <c r="M253" s="107"/>
      <c r="N253" s="107"/>
      <c r="O253" s="1017"/>
      <c r="P253" s="1030"/>
      <c r="Q253" s="1115"/>
      <c r="R253" s="1115"/>
      <c r="S253" s="72"/>
    </row>
    <row r="254" spans="1:19" ht="17.25" customHeight="1">
      <c r="A254" s="299"/>
      <c r="B254" s="299"/>
      <c r="C254" s="1122" t="s">
        <v>1250</v>
      </c>
      <c r="D254" s="108"/>
      <c r="E254" s="108"/>
      <c r="F254" s="108"/>
      <c r="G254" s="108"/>
      <c r="H254" s="108"/>
      <c r="I254" s="108"/>
      <c r="J254" s="108"/>
      <c r="K254" s="108"/>
      <c r="L254" s="107"/>
      <c r="M254" s="107"/>
      <c r="N254" s="107"/>
      <c r="O254" s="1017"/>
      <c r="P254" s="1028">
        <f>SUM(P255:P261)</f>
        <v>253200</v>
      </c>
      <c r="Q254" s="1115"/>
      <c r="R254" s="1115"/>
      <c r="S254" s="72"/>
    </row>
    <row r="255" spans="1:19" ht="17.25" customHeight="1">
      <c r="A255" s="299"/>
      <c r="B255" s="299"/>
      <c r="C255" s="1127" t="s">
        <v>1434</v>
      </c>
      <c r="D255" s="108"/>
      <c r="E255" s="108"/>
      <c r="F255" s="108"/>
      <c r="G255" s="108"/>
      <c r="H255" s="108"/>
      <c r="I255" s="108"/>
      <c r="J255" s="108"/>
      <c r="K255" s="108"/>
      <c r="L255" s="107"/>
      <c r="M255" s="107"/>
      <c r="N255" s="107"/>
      <c r="O255" s="1012">
        <v>20000</v>
      </c>
      <c r="P255" s="187">
        <f>O255</f>
        <v>20000</v>
      </c>
      <c r="Q255" s="1115"/>
      <c r="R255" s="1115"/>
      <c r="S255" s="185"/>
    </row>
    <row r="256" spans="1:19" ht="17.25" customHeight="1">
      <c r="A256" s="299"/>
      <c r="B256" s="299"/>
      <c r="C256" s="1127" t="s">
        <v>1435</v>
      </c>
      <c r="D256" s="108"/>
      <c r="E256" s="108"/>
      <c r="F256" s="108"/>
      <c r="G256" s="108"/>
      <c r="H256" s="108"/>
      <c r="I256" s="108"/>
      <c r="J256" s="108"/>
      <c r="K256" s="108"/>
      <c r="L256" s="107"/>
      <c r="M256" s="107"/>
      <c r="N256" s="107"/>
      <c r="O256" s="1012">
        <v>51200</v>
      </c>
      <c r="P256" s="187">
        <f t="shared" ref="P256:P261" si="11">O256</f>
        <v>51200</v>
      </c>
      <c r="Q256" s="1115"/>
      <c r="R256" s="1115"/>
      <c r="S256" s="945"/>
    </row>
    <row r="257" spans="1:19" ht="17.25" customHeight="1">
      <c r="A257" s="299"/>
      <c r="B257" s="299"/>
      <c r="C257" s="1127" t="s">
        <v>1436</v>
      </c>
      <c r="D257" s="108"/>
      <c r="E257" s="108"/>
      <c r="F257" s="108"/>
      <c r="G257" s="108"/>
      <c r="H257" s="108"/>
      <c r="I257" s="108"/>
      <c r="J257" s="108"/>
      <c r="K257" s="108"/>
      <c r="L257" s="107"/>
      <c r="M257" s="107"/>
      <c r="N257" s="107"/>
      <c r="O257" s="1012">
        <v>120000</v>
      </c>
      <c r="P257" s="187">
        <f t="shared" si="11"/>
        <v>120000</v>
      </c>
      <c r="Q257" s="1115"/>
      <c r="R257" s="1115"/>
      <c r="S257" s="945"/>
    </row>
    <row r="258" spans="1:19" ht="17.25" customHeight="1">
      <c r="A258" s="299"/>
      <c r="B258" s="299"/>
      <c r="C258" s="1127" t="s">
        <v>1437</v>
      </c>
      <c r="D258" s="108"/>
      <c r="E258" s="108"/>
      <c r="F258" s="108"/>
      <c r="G258" s="108"/>
      <c r="H258" s="108"/>
      <c r="I258" s="108"/>
      <c r="J258" s="108"/>
      <c r="K258" s="108"/>
      <c r="L258" s="107"/>
      <c r="M258" s="107"/>
      <c r="N258" s="107"/>
      <c r="O258" s="1012">
        <v>20000</v>
      </c>
      <c r="P258" s="187">
        <f t="shared" si="11"/>
        <v>20000</v>
      </c>
      <c r="Q258" s="1115"/>
      <c r="R258" s="1115"/>
      <c r="S258" s="945"/>
    </row>
    <row r="259" spans="1:19" ht="17.25" customHeight="1">
      <c r="A259" s="299"/>
      <c r="B259" s="299"/>
      <c r="C259" s="1127" t="s">
        <v>1438</v>
      </c>
      <c r="D259" s="108"/>
      <c r="E259" s="108"/>
      <c r="F259" s="108"/>
      <c r="G259" s="108"/>
      <c r="H259" s="108"/>
      <c r="I259" s="108"/>
      <c r="J259" s="108"/>
      <c r="K259" s="108"/>
      <c r="L259" s="107"/>
      <c r="M259" s="107"/>
      <c r="N259" s="107"/>
      <c r="O259" s="1012">
        <v>5000</v>
      </c>
      <c r="P259" s="187">
        <f t="shared" si="11"/>
        <v>5000</v>
      </c>
      <c r="Q259" s="1115"/>
      <c r="R259" s="1115"/>
      <c r="S259" s="945"/>
    </row>
    <row r="260" spans="1:19" ht="17.25" customHeight="1">
      <c r="A260" s="299"/>
      <c r="B260" s="299"/>
      <c r="C260" s="1127" t="s">
        <v>1439</v>
      </c>
      <c r="D260" s="108"/>
      <c r="E260" s="108"/>
      <c r="F260" s="108"/>
      <c r="G260" s="108"/>
      <c r="H260" s="108"/>
      <c r="I260" s="108"/>
      <c r="J260" s="108"/>
      <c r="K260" s="108"/>
      <c r="L260" s="107"/>
      <c r="M260" s="107"/>
      <c r="N260" s="107"/>
      <c r="O260" s="1012">
        <v>20000</v>
      </c>
      <c r="P260" s="187">
        <f t="shared" si="11"/>
        <v>20000</v>
      </c>
      <c r="Q260" s="1115"/>
      <c r="R260" s="1115"/>
      <c r="S260" s="945"/>
    </row>
    <row r="261" spans="1:19" ht="17.25" customHeight="1">
      <c r="A261" s="299"/>
      <c r="B261" s="299"/>
      <c r="C261" s="1127" t="s">
        <v>1440</v>
      </c>
      <c r="D261" s="108"/>
      <c r="E261" s="108"/>
      <c r="F261" s="108"/>
      <c r="G261" s="108"/>
      <c r="H261" s="108"/>
      <c r="I261" s="108"/>
      <c r="J261" s="108"/>
      <c r="K261" s="108"/>
      <c r="L261" s="107"/>
      <c r="M261" s="107"/>
      <c r="N261" s="107"/>
      <c r="O261" s="1012">
        <v>17000</v>
      </c>
      <c r="P261" s="187">
        <f t="shared" si="11"/>
        <v>17000</v>
      </c>
      <c r="Q261" s="1115"/>
      <c r="R261" s="1115"/>
      <c r="S261" s="945"/>
    </row>
    <row r="262" spans="1:19" ht="17.25" customHeight="1">
      <c r="A262" s="344"/>
      <c r="B262" s="344"/>
      <c r="C262" s="1122" t="s">
        <v>1428</v>
      </c>
      <c r="D262" s="108"/>
      <c r="E262" s="108"/>
      <c r="F262" s="108"/>
      <c r="G262" s="108"/>
      <c r="H262" s="108"/>
      <c r="I262" s="108"/>
      <c r="J262" s="108"/>
      <c r="K262" s="108"/>
      <c r="L262" s="107"/>
      <c r="M262" s="107"/>
      <c r="N262" s="107"/>
      <c r="O262" s="1017"/>
      <c r="P262" s="1031">
        <f>SUM(P263:P267)</f>
        <v>38800</v>
      </c>
      <c r="Q262" s="1115"/>
      <c r="R262" s="1115"/>
      <c r="S262" s="945"/>
    </row>
    <row r="263" spans="1:19" ht="17.25" customHeight="1">
      <c r="A263" s="299"/>
      <c r="B263" s="299"/>
      <c r="C263" s="1127" t="s">
        <v>1429</v>
      </c>
      <c r="D263" s="108"/>
      <c r="E263" s="108"/>
      <c r="F263" s="108"/>
      <c r="G263" s="108"/>
      <c r="H263" s="108"/>
      <c r="I263" s="108"/>
      <c r="J263" s="108"/>
      <c r="K263" s="108"/>
      <c r="L263" s="107"/>
      <c r="M263" s="107"/>
      <c r="N263" s="107"/>
      <c r="O263" s="1012">
        <v>4000</v>
      </c>
      <c r="P263" s="194">
        <f>O263</f>
        <v>4000</v>
      </c>
      <c r="Q263" s="1115"/>
      <c r="R263" s="1115"/>
      <c r="S263" s="945"/>
    </row>
    <row r="264" spans="1:19" ht="17.25" customHeight="1">
      <c r="A264" s="299"/>
      <c r="B264" s="299"/>
      <c r="C264" s="1127" t="s">
        <v>1430</v>
      </c>
      <c r="D264" s="108"/>
      <c r="E264" s="108"/>
      <c r="F264" s="108"/>
      <c r="G264" s="108"/>
      <c r="H264" s="108"/>
      <c r="I264" s="108"/>
      <c r="J264" s="108"/>
      <c r="K264" s="108"/>
      <c r="L264" s="107"/>
      <c r="M264" s="107"/>
      <c r="N264" s="107"/>
      <c r="O264" s="1012">
        <v>4800</v>
      </c>
      <c r="P264" s="194">
        <f>O264</f>
        <v>4800</v>
      </c>
      <c r="Q264" s="1115"/>
      <c r="R264" s="1115"/>
      <c r="S264" s="945"/>
    </row>
    <row r="265" spans="1:19" ht="17.25" customHeight="1">
      <c r="A265" s="299"/>
      <c r="B265" s="299"/>
      <c r="C265" s="1127" t="s">
        <v>1431</v>
      </c>
      <c r="D265" s="108"/>
      <c r="E265" s="108"/>
      <c r="F265" s="108"/>
      <c r="G265" s="108"/>
      <c r="H265" s="108"/>
      <c r="I265" s="108"/>
      <c r="J265" s="108"/>
      <c r="K265" s="108"/>
      <c r="L265" s="107"/>
      <c r="M265" s="107"/>
      <c r="N265" s="107"/>
      <c r="O265" s="1012">
        <v>8000</v>
      </c>
      <c r="P265" s="194">
        <f>O265</f>
        <v>8000</v>
      </c>
      <c r="Q265" s="1115"/>
      <c r="R265" s="1115"/>
      <c r="S265" s="945"/>
    </row>
    <row r="266" spans="1:19" ht="17.25" customHeight="1">
      <c r="A266" s="299"/>
      <c r="B266" s="299"/>
      <c r="C266" s="1127" t="s">
        <v>1432</v>
      </c>
      <c r="D266" s="108"/>
      <c r="E266" s="108"/>
      <c r="F266" s="108"/>
      <c r="G266" s="108"/>
      <c r="H266" s="108"/>
      <c r="I266" s="108"/>
      <c r="J266" s="108"/>
      <c r="K266" s="108"/>
      <c r="L266" s="107"/>
      <c r="M266" s="107"/>
      <c r="N266" s="107"/>
      <c r="O266" s="1012">
        <v>12000</v>
      </c>
      <c r="P266" s="194">
        <f>O266</f>
        <v>12000</v>
      </c>
      <c r="Q266" s="1115"/>
      <c r="R266" s="1115"/>
      <c r="S266" s="1430"/>
    </row>
    <row r="267" spans="1:19" ht="17.25" customHeight="1">
      <c r="A267" s="299"/>
      <c r="B267" s="299"/>
      <c r="C267" s="1127" t="s">
        <v>1433</v>
      </c>
      <c r="D267" s="108"/>
      <c r="E267" s="108"/>
      <c r="F267" s="108"/>
      <c r="G267" s="108"/>
      <c r="H267" s="108"/>
      <c r="I267" s="108"/>
      <c r="J267" s="108"/>
      <c r="K267" s="108"/>
      <c r="L267" s="107"/>
      <c r="M267" s="107"/>
      <c r="N267" s="107"/>
      <c r="O267" s="1012">
        <v>10000</v>
      </c>
      <c r="P267" s="194">
        <f>O267</f>
        <v>10000</v>
      </c>
      <c r="Q267" s="1115"/>
      <c r="R267" s="1115"/>
      <c r="S267" s="1430"/>
    </row>
    <row r="268" spans="1:19" ht="17.25" customHeight="1">
      <c r="A268" s="299"/>
      <c r="B268" s="299"/>
      <c r="C268" s="1132" t="s">
        <v>1336</v>
      </c>
      <c r="D268" s="108"/>
      <c r="E268" s="108"/>
      <c r="F268" s="108"/>
      <c r="G268" s="108"/>
      <c r="H268" s="108"/>
      <c r="I268" s="108"/>
      <c r="J268" s="108"/>
      <c r="K268" s="108"/>
      <c r="L268" s="107"/>
      <c r="M268" s="107"/>
      <c r="N268" s="107"/>
      <c r="O268" s="1012"/>
      <c r="P268" s="1030"/>
      <c r="Q268" s="1115"/>
      <c r="R268" s="1115"/>
      <c r="S268" s="1430"/>
    </row>
    <row r="269" spans="1:19" ht="17.25" customHeight="1">
      <c r="A269" s="299"/>
      <c r="B269" s="299"/>
      <c r="C269" s="1133" t="s">
        <v>1315</v>
      </c>
      <c r="D269" s="72"/>
      <c r="E269" s="72"/>
      <c r="F269" s="72"/>
      <c r="G269" s="72"/>
      <c r="H269" s="72"/>
      <c r="I269" s="74"/>
      <c r="J269" s="74"/>
      <c r="K269" s="72"/>
      <c r="L269" s="74"/>
      <c r="M269" s="74"/>
      <c r="N269" s="74"/>
      <c r="O269" s="1032"/>
      <c r="P269" s="109">
        <f>SUM(P270+P279+P287+P291+P295+P303+P304+P310)</f>
        <v>3954000</v>
      </c>
      <c r="Q269" s="1115"/>
      <c r="R269" s="1115"/>
      <c r="S269" s="1430"/>
    </row>
    <row r="270" spans="1:19" ht="17.25" customHeight="1">
      <c r="A270" s="299"/>
      <c r="B270" s="299"/>
      <c r="C270" s="1142" t="s">
        <v>1337</v>
      </c>
      <c r="D270" s="72"/>
      <c r="E270" s="72"/>
      <c r="F270" s="72"/>
      <c r="G270" s="72"/>
      <c r="H270" s="72"/>
      <c r="I270" s="74"/>
      <c r="J270" s="74"/>
      <c r="K270" s="72"/>
      <c r="L270" s="74"/>
      <c r="M270" s="74"/>
      <c r="N270" s="74"/>
      <c r="O270" s="1032"/>
      <c r="P270" s="110">
        <f>SUM(P271:P278)</f>
        <v>361800</v>
      </c>
      <c r="Q270" s="1115"/>
      <c r="R270" s="1115"/>
      <c r="S270" s="1430"/>
    </row>
    <row r="271" spans="1:19" ht="17.25" customHeight="1">
      <c r="A271" s="299"/>
      <c r="B271" s="299"/>
      <c r="C271" s="1123" t="s">
        <v>1251</v>
      </c>
      <c r="D271" s="72"/>
      <c r="E271" s="72"/>
      <c r="F271" s="72"/>
      <c r="G271" s="72"/>
      <c r="H271" s="72"/>
      <c r="I271" s="74"/>
      <c r="J271" s="74"/>
      <c r="K271" s="72"/>
      <c r="L271" s="74">
        <v>400</v>
      </c>
      <c r="M271" s="74" t="s">
        <v>361</v>
      </c>
      <c r="N271" s="74"/>
      <c r="O271" s="1032">
        <v>600</v>
      </c>
      <c r="P271" s="110">
        <f>L271*O271</f>
        <v>240000</v>
      </c>
      <c r="Q271" s="1115"/>
      <c r="R271" s="1115"/>
      <c r="S271" s="1430"/>
    </row>
    <row r="272" spans="1:19" ht="17.25" customHeight="1">
      <c r="A272" s="299"/>
      <c r="B272" s="299"/>
      <c r="C272" s="1123" t="s">
        <v>1252</v>
      </c>
      <c r="D272" s="72"/>
      <c r="E272" s="72"/>
      <c r="F272" s="72"/>
      <c r="G272" s="72"/>
      <c r="H272" s="72"/>
      <c r="I272" s="74"/>
      <c r="J272" s="74"/>
      <c r="K272" s="72"/>
      <c r="L272" s="74">
        <v>24</v>
      </c>
      <c r="M272" s="74" t="s">
        <v>652</v>
      </c>
      <c r="N272" s="74"/>
      <c r="O272" s="1032">
        <v>1200</v>
      </c>
      <c r="P272" s="110">
        <f t="shared" ref="P272:P277" si="12">L272*O272</f>
        <v>28800</v>
      </c>
      <c r="Q272" s="1115"/>
      <c r="R272" s="1115"/>
      <c r="S272" s="1126"/>
    </row>
    <row r="273" spans="1:19" ht="17.25" customHeight="1">
      <c r="A273" s="299"/>
      <c r="B273" s="299"/>
      <c r="C273" s="1123" t="s">
        <v>1253</v>
      </c>
      <c r="D273" s="72"/>
      <c r="E273" s="72"/>
      <c r="F273" s="72"/>
      <c r="G273" s="72"/>
      <c r="H273" s="72"/>
      <c r="I273" s="74"/>
      <c r="J273" s="74"/>
      <c r="K273" s="72"/>
      <c r="L273" s="74">
        <v>4</v>
      </c>
      <c r="M273" s="74" t="s">
        <v>18</v>
      </c>
      <c r="N273" s="74"/>
      <c r="O273" s="1032">
        <v>5000</v>
      </c>
      <c r="P273" s="110">
        <f t="shared" si="12"/>
        <v>20000</v>
      </c>
      <c r="Q273" s="1115"/>
      <c r="R273" s="1115"/>
      <c r="S273" s="1033"/>
    </row>
    <row r="274" spans="1:19" ht="17.25" customHeight="1">
      <c r="A274" s="299"/>
      <c r="B274" s="299"/>
      <c r="C274" s="1123" t="s">
        <v>1254</v>
      </c>
      <c r="D274" s="72"/>
      <c r="E274" s="72"/>
      <c r="F274" s="72"/>
      <c r="G274" s="72"/>
      <c r="H274" s="72"/>
      <c r="I274" s="74"/>
      <c r="J274" s="74"/>
      <c r="K274" s="72"/>
      <c r="L274" s="74">
        <v>4</v>
      </c>
      <c r="M274" s="74" t="s">
        <v>18</v>
      </c>
      <c r="N274" s="74"/>
      <c r="O274" s="1032">
        <v>5000</v>
      </c>
      <c r="P274" s="110">
        <f t="shared" si="12"/>
        <v>20000</v>
      </c>
      <c r="Q274" s="1115"/>
      <c r="R274" s="1115"/>
      <c r="S274" s="1033"/>
    </row>
    <row r="275" spans="1:19" ht="17.25" customHeight="1">
      <c r="A275" s="299"/>
      <c r="B275" s="299"/>
      <c r="C275" s="1123" t="s">
        <v>1255</v>
      </c>
      <c r="D275" s="72"/>
      <c r="E275" s="72"/>
      <c r="F275" s="72"/>
      <c r="G275" s="72"/>
      <c r="H275" s="72"/>
      <c r="I275" s="74"/>
      <c r="J275" s="74"/>
      <c r="K275" s="72"/>
      <c r="L275" s="74">
        <v>400</v>
      </c>
      <c r="M275" s="74" t="s">
        <v>46</v>
      </c>
      <c r="N275" s="74"/>
      <c r="O275" s="1032">
        <v>70</v>
      </c>
      <c r="P275" s="110">
        <f>L275*O275</f>
        <v>28000</v>
      </c>
      <c r="Q275" s="1115"/>
      <c r="R275" s="1115"/>
      <c r="S275" s="1033"/>
    </row>
    <row r="276" spans="1:19" ht="17.25" customHeight="1">
      <c r="A276" s="299"/>
      <c r="B276" s="299"/>
      <c r="C276" s="1123" t="s">
        <v>1256</v>
      </c>
      <c r="D276" s="72"/>
      <c r="E276" s="72"/>
      <c r="F276" s="72"/>
      <c r="G276" s="72"/>
      <c r="H276" s="72"/>
      <c r="I276" s="74"/>
      <c r="J276" s="74"/>
      <c r="K276" s="72"/>
      <c r="L276" s="74">
        <v>8</v>
      </c>
      <c r="M276" s="74" t="s">
        <v>33</v>
      </c>
      <c r="N276" s="74"/>
      <c r="O276" s="1032">
        <v>1000</v>
      </c>
      <c r="P276" s="110">
        <f t="shared" si="12"/>
        <v>8000</v>
      </c>
      <c r="Q276" s="1115"/>
      <c r="R276" s="1115"/>
      <c r="S276" s="1033"/>
    </row>
    <row r="277" spans="1:19" ht="17.25" customHeight="1">
      <c r="A277" s="299"/>
      <c r="B277" s="299"/>
      <c r="C277" s="1123" t="s">
        <v>1257</v>
      </c>
      <c r="D277" s="72"/>
      <c r="E277" s="72"/>
      <c r="F277" s="72"/>
      <c r="G277" s="72"/>
      <c r="H277" s="72"/>
      <c r="I277" s="74"/>
      <c r="J277" s="74"/>
      <c r="K277" s="72"/>
      <c r="L277" s="74">
        <v>8</v>
      </c>
      <c r="M277" s="74" t="s">
        <v>33</v>
      </c>
      <c r="N277" s="74"/>
      <c r="O277" s="1032">
        <v>1500</v>
      </c>
      <c r="P277" s="110">
        <f t="shared" si="12"/>
        <v>12000</v>
      </c>
      <c r="Q277" s="1115"/>
      <c r="R277" s="1115"/>
      <c r="S277" s="1033"/>
    </row>
    <row r="278" spans="1:19" ht="17.25" customHeight="1">
      <c r="A278" s="299"/>
      <c r="B278" s="299"/>
      <c r="C278" s="1123" t="s">
        <v>1258</v>
      </c>
      <c r="D278" s="72"/>
      <c r="E278" s="72"/>
      <c r="F278" s="72"/>
      <c r="G278" s="72"/>
      <c r="H278" s="72"/>
      <c r="I278" s="74"/>
      <c r="J278" s="74"/>
      <c r="K278" s="72"/>
      <c r="L278" s="74">
        <v>150</v>
      </c>
      <c r="M278" s="74" t="s">
        <v>19</v>
      </c>
      <c r="N278" s="74"/>
      <c r="O278" s="1032" t="s">
        <v>159</v>
      </c>
      <c r="P278" s="110">
        <v>5000</v>
      </c>
      <c r="Q278" s="1115"/>
      <c r="R278" s="1115"/>
      <c r="S278" s="1033"/>
    </row>
    <row r="279" spans="1:19" ht="17.25" customHeight="1">
      <c r="A279" s="299"/>
      <c r="B279" s="299"/>
      <c r="C279" s="1142" t="s">
        <v>1338</v>
      </c>
      <c r="D279" s="72"/>
      <c r="E279" s="72"/>
      <c r="F279" s="72"/>
      <c r="G279" s="72"/>
      <c r="H279" s="72"/>
      <c r="I279" s="74"/>
      <c r="J279" s="74"/>
      <c r="K279" s="72"/>
      <c r="L279" s="74"/>
      <c r="M279" s="74"/>
      <c r="N279" s="74"/>
      <c r="O279" s="1032"/>
      <c r="P279" s="110">
        <f>SUM(P280:P286)</f>
        <v>244700</v>
      </c>
      <c r="Q279" s="1115"/>
      <c r="R279" s="1115"/>
      <c r="S279" s="1033"/>
    </row>
    <row r="280" spans="1:19" ht="17.25" customHeight="1">
      <c r="A280" s="299"/>
      <c r="B280" s="299"/>
      <c r="C280" s="1123" t="s">
        <v>1251</v>
      </c>
      <c r="D280" s="72"/>
      <c r="E280" s="72"/>
      <c r="F280" s="72"/>
      <c r="G280" s="72"/>
      <c r="H280" s="72"/>
      <c r="I280" s="74"/>
      <c r="J280" s="74"/>
      <c r="K280" s="72"/>
      <c r="L280" s="74">
        <v>300</v>
      </c>
      <c r="M280" s="74" t="s">
        <v>361</v>
      </c>
      <c r="N280" s="74"/>
      <c r="O280" s="1032">
        <v>600</v>
      </c>
      <c r="P280" s="110">
        <f t="shared" ref="P280:P293" si="13">L280*O280</f>
        <v>180000</v>
      </c>
      <c r="Q280" s="1115"/>
      <c r="R280" s="1115"/>
      <c r="S280" s="1033"/>
    </row>
    <row r="281" spans="1:19" ht="17.25" customHeight="1">
      <c r="A281" s="299"/>
      <c r="B281" s="299"/>
      <c r="C281" s="1123" t="s">
        <v>1252</v>
      </c>
      <c r="D281" s="72"/>
      <c r="E281" s="72"/>
      <c r="F281" s="72"/>
      <c r="G281" s="72"/>
      <c r="H281" s="72"/>
      <c r="I281" s="74"/>
      <c r="J281" s="74"/>
      <c r="K281" s="72"/>
      <c r="L281" s="74">
        <v>6</v>
      </c>
      <c r="M281" s="74" t="s">
        <v>652</v>
      </c>
      <c r="N281" s="74"/>
      <c r="O281" s="1032">
        <v>1200</v>
      </c>
      <c r="P281" s="110">
        <f t="shared" si="13"/>
        <v>7200</v>
      </c>
      <c r="Q281" s="1115"/>
      <c r="R281" s="1115"/>
      <c r="S281" s="1033"/>
    </row>
    <row r="282" spans="1:19" ht="17.25" customHeight="1">
      <c r="A282" s="299"/>
      <c r="B282" s="299"/>
      <c r="C282" s="1123" t="s">
        <v>1253</v>
      </c>
      <c r="D282" s="72"/>
      <c r="E282" s="72"/>
      <c r="F282" s="72"/>
      <c r="G282" s="72"/>
      <c r="H282" s="72"/>
      <c r="I282" s="74"/>
      <c r="J282" s="74"/>
      <c r="K282" s="72"/>
      <c r="L282" s="74">
        <v>1</v>
      </c>
      <c r="M282" s="74" t="s">
        <v>18</v>
      </c>
      <c r="N282" s="74"/>
      <c r="O282" s="1032">
        <v>5000</v>
      </c>
      <c r="P282" s="110">
        <f t="shared" si="13"/>
        <v>5000</v>
      </c>
      <c r="Q282" s="1115"/>
      <c r="R282" s="1115"/>
      <c r="S282" s="1033"/>
    </row>
    <row r="283" spans="1:19" ht="17.25" customHeight="1">
      <c r="A283" s="299"/>
      <c r="B283" s="299"/>
      <c r="C283" s="1123" t="s">
        <v>1254</v>
      </c>
      <c r="D283" s="72"/>
      <c r="E283" s="72"/>
      <c r="F283" s="72"/>
      <c r="G283" s="72"/>
      <c r="H283" s="72"/>
      <c r="I283" s="74"/>
      <c r="J283" s="74"/>
      <c r="K283" s="72"/>
      <c r="L283" s="74">
        <v>1</v>
      </c>
      <c r="M283" s="74" t="s">
        <v>18</v>
      </c>
      <c r="N283" s="74"/>
      <c r="O283" s="1032">
        <v>5000</v>
      </c>
      <c r="P283" s="110">
        <f t="shared" si="13"/>
        <v>5000</v>
      </c>
      <c r="Q283" s="1115"/>
      <c r="R283" s="1115"/>
      <c r="S283" s="1033"/>
    </row>
    <row r="284" spans="1:19" ht="17.25" customHeight="1">
      <c r="A284" s="299"/>
      <c r="B284" s="299"/>
      <c r="C284" s="1123" t="s">
        <v>1255</v>
      </c>
      <c r="D284" s="72"/>
      <c r="E284" s="72"/>
      <c r="F284" s="72"/>
      <c r="G284" s="72"/>
      <c r="H284" s="72"/>
      <c r="I284" s="74"/>
      <c r="J284" s="74"/>
      <c r="K284" s="72"/>
      <c r="L284" s="74">
        <v>300</v>
      </c>
      <c r="M284" s="74" t="s">
        <v>46</v>
      </c>
      <c r="N284" s="74"/>
      <c r="O284" s="1032">
        <v>150</v>
      </c>
      <c r="P284" s="110">
        <f t="shared" si="13"/>
        <v>45000</v>
      </c>
      <c r="Q284" s="1115"/>
      <c r="R284" s="1115"/>
      <c r="S284" s="1033"/>
    </row>
    <row r="285" spans="1:19" ht="17.25" customHeight="1">
      <c r="A285" s="299"/>
      <c r="B285" s="299"/>
      <c r="C285" s="1123" t="s">
        <v>1256</v>
      </c>
      <c r="D285" s="72"/>
      <c r="E285" s="72"/>
      <c r="F285" s="72"/>
      <c r="G285" s="72"/>
      <c r="H285" s="72"/>
      <c r="I285" s="74"/>
      <c r="J285" s="74"/>
      <c r="K285" s="72"/>
      <c r="L285" s="74">
        <v>1</v>
      </c>
      <c r="M285" s="74" t="s">
        <v>33</v>
      </c>
      <c r="N285" s="74"/>
      <c r="O285" s="1032">
        <v>1000</v>
      </c>
      <c r="P285" s="110">
        <f t="shared" si="13"/>
        <v>1000</v>
      </c>
      <c r="Q285" s="1115"/>
      <c r="R285" s="1115"/>
      <c r="S285" s="1033"/>
    </row>
    <row r="286" spans="1:19" ht="17.25" customHeight="1">
      <c r="A286" s="299"/>
      <c r="B286" s="299"/>
      <c r="C286" s="1123" t="s">
        <v>1257</v>
      </c>
      <c r="D286" s="72"/>
      <c r="E286" s="72"/>
      <c r="F286" s="72"/>
      <c r="G286" s="72"/>
      <c r="H286" s="72"/>
      <c r="I286" s="74"/>
      <c r="J286" s="74"/>
      <c r="K286" s="72"/>
      <c r="L286" s="74">
        <v>1</v>
      </c>
      <c r="M286" s="74" t="s">
        <v>33</v>
      </c>
      <c r="N286" s="74"/>
      <c r="O286" s="1032">
        <v>1500</v>
      </c>
      <c r="P286" s="110">
        <f t="shared" si="13"/>
        <v>1500</v>
      </c>
      <c r="Q286" s="1115"/>
      <c r="R286" s="1115"/>
      <c r="S286" s="1033"/>
    </row>
    <row r="287" spans="1:19" ht="17.25" customHeight="1">
      <c r="A287" s="299"/>
      <c r="B287" s="299"/>
      <c r="C287" s="1142" t="s">
        <v>1339</v>
      </c>
      <c r="D287" s="72"/>
      <c r="E287" s="72"/>
      <c r="F287" s="72"/>
      <c r="G287" s="72"/>
      <c r="H287" s="72"/>
      <c r="I287" s="74"/>
      <c r="J287" s="74"/>
      <c r="K287" s="72"/>
      <c r="L287" s="74"/>
      <c r="M287" s="74"/>
      <c r="N287" s="74"/>
      <c r="O287" s="1032"/>
      <c r="P287" s="110">
        <f>SUM(P288:P290)</f>
        <v>1525000</v>
      </c>
      <c r="Q287" s="1115"/>
      <c r="R287" s="1115"/>
      <c r="S287" s="1033"/>
    </row>
    <row r="288" spans="1:19" ht="17.25" customHeight="1">
      <c r="A288" s="299"/>
      <c r="B288" s="299"/>
      <c r="C288" s="1123" t="s">
        <v>1256</v>
      </c>
      <c r="D288" s="72"/>
      <c r="E288" s="72"/>
      <c r="F288" s="72"/>
      <c r="G288" s="72"/>
      <c r="H288" s="72"/>
      <c r="I288" s="74"/>
      <c r="J288" s="74"/>
      <c r="K288" s="72"/>
      <c r="L288" s="74">
        <v>250</v>
      </c>
      <c r="M288" s="74" t="s">
        <v>33</v>
      </c>
      <c r="N288" s="74"/>
      <c r="O288" s="1032">
        <v>1000</v>
      </c>
      <c r="P288" s="110">
        <f t="shared" si="13"/>
        <v>250000</v>
      </c>
      <c r="Q288" s="1115"/>
      <c r="R288" s="1115"/>
      <c r="S288" s="143"/>
    </row>
    <row r="289" spans="1:19" ht="17.25" customHeight="1">
      <c r="A289" s="299"/>
      <c r="B289" s="299"/>
      <c r="C289" s="1123" t="s">
        <v>1257</v>
      </c>
      <c r="D289" s="72"/>
      <c r="E289" s="72"/>
      <c r="F289" s="72"/>
      <c r="G289" s="72"/>
      <c r="H289" s="72"/>
      <c r="I289" s="74"/>
      <c r="J289" s="74"/>
      <c r="K289" s="72"/>
      <c r="L289" s="74">
        <v>250</v>
      </c>
      <c r="M289" s="74" t="s">
        <v>33</v>
      </c>
      <c r="N289" s="74"/>
      <c r="O289" s="1032">
        <v>1500</v>
      </c>
      <c r="P289" s="110">
        <f t="shared" si="13"/>
        <v>375000</v>
      </c>
      <c r="Q289" s="1115"/>
      <c r="R289" s="1115"/>
      <c r="S289" s="143"/>
    </row>
    <row r="290" spans="1:19" ht="17.25" customHeight="1">
      <c r="A290" s="299"/>
      <c r="B290" s="299"/>
      <c r="C290" s="1123" t="s">
        <v>1259</v>
      </c>
      <c r="D290" s="72"/>
      <c r="E290" s="72"/>
      <c r="F290" s="72"/>
      <c r="G290" s="72"/>
      <c r="H290" s="72"/>
      <c r="I290" s="74"/>
      <c r="J290" s="74"/>
      <c r="K290" s="72"/>
      <c r="L290" s="74">
        <v>180</v>
      </c>
      <c r="M290" s="74" t="s">
        <v>1260</v>
      </c>
      <c r="N290" s="74"/>
      <c r="O290" s="1032">
        <v>5000</v>
      </c>
      <c r="P290" s="110">
        <f t="shared" si="13"/>
        <v>900000</v>
      </c>
      <c r="Q290" s="1115"/>
      <c r="R290" s="1115"/>
      <c r="S290" s="143"/>
    </row>
    <row r="291" spans="1:19" ht="17.25" customHeight="1">
      <c r="A291" s="344"/>
      <c r="B291" s="344"/>
      <c r="C291" s="1142" t="s">
        <v>1340</v>
      </c>
      <c r="D291" s="72"/>
      <c r="E291" s="72"/>
      <c r="F291" s="72"/>
      <c r="G291" s="72"/>
      <c r="H291" s="72"/>
      <c r="I291" s="74"/>
      <c r="J291" s="74"/>
      <c r="K291" s="72"/>
      <c r="L291" s="74"/>
      <c r="M291" s="74"/>
      <c r="N291" s="74"/>
      <c r="O291" s="1032"/>
      <c r="P291" s="110">
        <f>SUM(P292:P294)</f>
        <v>500000</v>
      </c>
      <c r="Q291" s="1115"/>
      <c r="R291" s="1115"/>
      <c r="S291" s="143"/>
    </row>
    <row r="292" spans="1:19" ht="17.25" customHeight="1">
      <c r="A292" s="299"/>
      <c r="B292" s="299"/>
      <c r="C292" s="1123" t="s">
        <v>1256</v>
      </c>
      <c r="D292" s="72"/>
      <c r="E292" s="72"/>
      <c r="F292" s="72"/>
      <c r="G292" s="72"/>
      <c r="H292" s="72"/>
      <c r="I292" s="74"/>
      <c r="J292" s="74"/>
      <c r="K292" s="72"/>
      <c r="L292" s="74">
        <v>80</v>
      </c>
      <c r="M292" s="74" t="s">
        <v>33</v>
      </c>
      <c r="N292" s="74"/>
      <c r="O292" s="1032">
        <v>1000</v>
      </c>
      <c r="P292" s="110">
        <f t="shared" si="13"/>
        <v>80000</v>
      </c>
      <c r="Q292" s="1115"/>
      <c r="R292" s="1115"/>
      <c r="S292" s="1034"/>
    </row>
    <row r="293" spans="1:19" ht="17.25" customHeight="1">
      <c r="A293" s="299"/>
      <c r="B293" s="299"/>
      <c r="C293" s="1123" t="s">
        <v>1257</v>
      </c>
      <c r="D293" s="72"/>
      <c r="E293" s="72"/>
      <c r="F293" s="72"/>
      <c r="G293" s="72"/>
      <c r="H293" s="72"/>
      <c r="I293" s="74"/>
      <c r="J293" s="74"/>
      <c r="K293" s="72"/>
      <c r="L293" s="74">
        <v>80</v>
      </c>
      <c r="M293" s="74" t="s">
        <v>33</v>
      </c>
      <c r="N293" s="74"/>
      <c r="O293" s="1032">
        <v>1500</v>
      </c>
      <c r="P293" s="110">
        <f t="shared" si="13"/>
        <v>120000</v>
      </c>
      <c r="Q293" s="1115"/>
      <c r="R293" s="1115"/>
      <c r="S293" s="1034"/>
    </row>
    <row r="294" spans="1:19" ht="17.25" customHeight="1">
      <c r="A294" s="299"/>
      <c r="B294" s="299"/>
      <c r="C294" s="1123" t="s">
        <v>1259</v>
      </c>
      <c r="D294" s="72"/>
      <c r="E294" s="72"/>
      <c r="F294" s="72"/>
      <c r="G294" s="72"/>
      <c r="H294" s="72"/>
      <c r="I294" s="74"/>
      <c r="J294" s="74"/>
      <c r="K294" s="72"/>
      <c r="L294" s="74">
        <v>60</v>
      </c>
      <c r="M294" s="74" t="s">
        <v>1260</v>
      </c>
      <c r="N294" s="74"/>
      <c r="O294" s="1032">
        <v>5000</v>
      </c>
      <c r="P294" s="110">
        <f>L294*O294</f>
        <v>300000</v>
      </c>
      <c r="Q294" s="1115"/>
      <c r="R294" s="1115"/>
      <c r="S294" s="1034"/>
    </row>
    <row r="295" spans="1:19" ht="17.25" customHeight="1">
      <c r="A295" s="299"/>
      <c r="B295" s="299"/>
      <c r="C295" s="1142" t="s">
        <v>1341</v>
      </c>
      <c r="D295" s="72"/>
      <c r="E295" s="72"/>
      <c r="F295" s="72"/>
      <c r="G295" s="72"/>
      <c r="H295" s="72"/>
      <c r="I295" s="74"/>
      <c r="J295" s="74"/>
      <c r="K295" s="72"/>
      <c r="L295" s="74"/>
      <c r="M295" s="74"/>
      <c r="N295" s="74"/>
      <c r="O295" s="1032"/>
      <c r="P295" s="109">
        <f>SUM(P296:P302)</f>
        <v>242900</v>
      </c>
      <c r="Q295" s="1115"/>
      <c r="R295" s="1115"/>
      <c r="S295" s="1034"/>
    </row>
    <row r="296" spans="1:19" ht="17.25" customHeight="1">
      <c r="A296" s="299"/>
      <c r="B296" s="299"/>
      <c r="C296" s="1123" t="s">
        <v>1251</v>
      </c>
      <c r="D296" s="72"/>
      <c r="E296" s="72"/>
      <c r="F296" s="72"/>
      <c r="G296" s="72"/>
      <c r="H296" s="72"/>
      <c r="I296" s="74"/>
      <c r="J296" s="74"/>
      <c r="K296" s="72"/>
      <c r="L296" s="74">
        <v>300</v>
      </c>
      <c r="M296" s="74" t="s">
        <v>361</v>
      </c>
      <c r="N296" s="74"/>
      <c r="O296" s="1032">
        <v>600</v>
      </c>
      <c r="P296" s="110">
        <f>L296*O296</f>
        <v>180000</v>
      </c>
      <c r="Q296" s="1115"/>
      <c r="R296" s="1115"/>
      <c r="S296" s="1034"/>
    </row>
    <row r="297" spans="1:19" ht="17.25" customHeight="1">
      <c r="A297" s="299"/>
      <c r="B297" s="299"/>
      <c r="C297" s="1123" t="s">
        <v>1252</v>
      </c>
      <c r="D297" s="72"/>
      <c r="E297" s="72"/>
      <c r="F297" s="72"/>
      <c r="G297" s="72"/>
      <c r="H297" s="72"/>
      <c r="I297" s="74"/>
      <c r="J297" s="74"/>
      <c r="K297" s="72"/>
      <c r="L297" s="74">
        <v>12</v>
      </c>
      <c r="M297" s="74" t="s">
        <v>652</v>
      </c>
      <c r="N297" s="74"/>
      <c r="O297" s="1032">
        <v>1200</v>
      </c>
      <c r="P297" s="110">
        <f t="shared" ref="P297:P303" si="14">L297*O297</f>
        <v>14400</v>
      </c>
      <c r="Q297" s="1115"/>
      <c r="R297" s="1115"/>
      <c r="S297" s="1034"/>
    </row>
    <row r="298" spans="1:19" ht="17.25" customHeight="1">
      <c r="A298" s="299"/>
      <c r="B298" s="299"/>
      <c r="C298" s="1123" t="s">
        <v>1261</v>
      </c>
      <c r="D298" s="72"/>
      <c r="E298" s="72"/>
      <c r="F298" s="72"/>
      <c r="G298" s="72"/>
      <c r="H298" s="72"/>
      <c r="I298" s="74"/>
      <c r="J298" s="74"/>
      <c r="K298" s="72"/>
      <c r="L298" s="74">
        <v>2</v>
      </c>
      <c r="M298" s="74" t="s">
        <v>18</v>
      </c>
      <c r="N298" s="74"/>
      <c r="O298" s="1032">
        <v>5000</v>
      </c>
      <c r="P298" s="110">
        <f t="shared" si="14"/>
        <v>10000</v>
      </c>
      <c r="Q298" s="1115"/>
      <c r="R298" s="1115"/>
      <c r="S298" s="1034"/>
    </row>
    <row r="299" spans="1:19" ht="17.25" customHeight="1">
      <c r="A299" s="299"/>
      <c r="B299" s="299"/>
      <c r="C299" s="1123" t="s">
        <v>1254</v>
      </c>
      <c r="D299" s="72"/>
      <c r="E299" s="72"/>
      <c r="F299" s="72"/>
      <c r="G299" s="72"/>
      <c r="H299" s="72"/>
      <c r="I299" s="74"/>
      <c r="J299" s="74"/>
      <c r="K299" s="72"/>
      <c r="L299" s="74">
        <v>2</v>
      </c>
      <c r="M299" s="74" t="s">
        <v>18</v>
      </c>
      <c r="N299" s="74"/>
      <c r="O299" s="1032">
        <v>5000</v>
      </c>
      <c r="P299" s="110">
        <f t="shared" si="14"/>
        <v>10000</v>
      </c>
      <c r="Q299" s="1115"/>
      <c r="R299" s="1115"/>
      <c r="S299" s="1034"/>
    </row>
    <row r="300" spans="1:19" ht="17.25" customHeight="1">
      <c r="A300" s="299"/>
      <c r="B300" s="299"/>
      <c r="C300" s="1123" t="s">
        <v>1262</v>
      </c>
      <c r="D300" s="72"/>
      <c r="E300" s="72"/>
      <c r="F300" s="72"/>
      <c r="G300" s="72"/>
      <c r="H300" s="72"/>
      <c r="I300" s="74"/>
      <c r="J300" s="74"/>
      <c r="K300" s="72"/>
      <c r="L300" s="74">
        <v>300</v>
      </c>
      <c r="M300" s="74" t="s">
        <v>46</v>
      </c>
      <c r="N300" s="74"/>
      <c r="O300" s="1032">
        <v>70</v>
      </c>
      <c r="P300" s="110">
        <f t="shared" si="14"/>
        <v>21000</v>
      </c>
      <c r="Q300" s="1115"/>
      <c r="R300" s="1115"/>
      <c r="S300" s="1034"/>
    </row>
    <row r="301" spans="1:19" ht="17.25" customHeight="1">
      <c r="A301" s="299"/>
      <c r="B301" s="299"/>
      <c r="C301" s="1123" t="s">
        <v>1256</v>
      </c>
      <c r="D301" s="72"/>
      <c r="E301" s="72"/>
      <c r="F301" s="72"/>
      <c r="G301" s="72"/>
      <c r="H301" s="72"/>
      <c r="I301" s="74"/>
      <c r="J301" s="74"/>
      <c r="K301" s="72"/>
      <c r="L301" s="74">
        <v>3</v>
      </c>
      <c r="M301" s="74" t="s">
        <v>33</v>
      </c>
      <c r="N301" s="74"/>
      <c r="O301" s="1032">
        <v>1000</v>
      </c>
      <c r="P301" s="110">
        <f t="shared" si="14"/>
        <v>3000</v>
      </c>
      <c r="Q301" s="1115"/>
      <c r="R301" s="1115"/>
      <c r="S301" s="1034"/>
    </row>
    <row r="302" spans="1:19" ht="17.25" customHeight="1">
      <c r="A302" s="299"/>
      <c r="B302" s="299"/>
      <c r="C302" s="1123" t="s">
        <v>1257</v>
      </c>
      <c r="D302" s="72"/>
      <c r="E302" s="72"/>
      <c r="F302" s="72"/>
      <c r="G302" s="72"/>
      <c r="H302" s="72"/>
      <c r="I302" s="74"/>
      <c r="J302" s="74"/>
      <c r="K302" s="72"/>
      <c r="L302" s="74">
        <v>3</v>
      </c>
      <c r="M302" s="74" t="s">
        <v>33</v>
      </c>
      <c r="N302" s="74"/>
      <c r="O302" s="1032">
        <v>1500</v>
      </c>
      <c r="P302" s="110">
        <f t="shared" si="14"/>
        <v>4500</v>
      </c>
      <c r="Q302" s="1115"/>
      <c r="R302" s="1115"/>
      <c r="S302" s="1034"/>
    </row>
    <row r="303" spans="1:19" ht="17.25" customHeight="1">
      <c r="A303" s="299"/>
      <c r="B303" s="299"/>
      <c r="C303" s="1142" t="s">
        <v>1342</v>
      </c>
      <c r="D303" s="72"/>
      <c r="E303" s="72"/>
      <c r="F303" s="72"/>
      <c r="G303" s="72"/>
      <c r="H303" s="72"/>
      <c r="I303" s="74"/>
      <c r="J303" s="74"/>
      <c r="K303" s="72"/>
      <c r="L303" s="74">
        <v>2</v>
      </c>
      <c r="M303" s="74" t="s">
        <v>1263</v>
      </c>
      <c r="N303" s="74"/>
      <c r="O303" s="1032">
        <v>450000</v>
      </c>
      <c r="P303" s="110">
        <f t="shared" si="14"/>
        <v>900000</v>
      </c>
      <c r="Q303" s="1115"/>
      <c r="R303" s="1115"/>
      <c r="S303" s="1034"/>
    </row>
    <row r="304" spans="1:19" ht="17.25" customHeight="1">
      <c r="A304" s="299"/>
      <c r="B304" s="299"/>
      <c r="C304" s="1142" t="s">
        <v>1343</v>
      </c>
      <c r="D304" s="72"/>
      <c r="E304" s="72"/>
      <c r="F304" s="72"/>
      <c r="G304" s="72"/>
      <c r="H304" s="72"/>
      <c r="I304" s="74"/>
      <c r="J304" s="74"/>
      <c r="K304" s="72"/>
      <c r="L304" s="74"/>
      <c r="M304" s="74"/>
      <c r="N304" s="74"/>
      <c r="O304" s="1032"/>
      <c r="P304" s="109">
        <f>SUM(P305:P309)</f>
        <v>26000</v>
      </c>
      <c r="Q304" s="1115"/>
      <c r="R304" s="1115"/>
      <c r="S304" s="1034"/>
    </row>
    <row r="305" spans="1:19" ht="17.25" customHeight="1">
      <c r="A305" s="299"/>
      <c r="B305" s="299"/>
      <c r="C305" s="1123" t="s">
        <v>1264</v>
      </c>
      <c r="D305" s="72"/>
      <c r="E305" s="72"/>
      <c r="F305" s="72"/>
      <c r="G305" s="72"/>
      <c r="H305" s="72"/>
      <c r="I305" s="74"/>
      <c r="J305" s="74"/>
      <c r="K305" s="72"/>
      <c r="L305" s="74">
        <v>10</v>
      </c>
      <c r="M305" s="74" t="s">
        <v>20</v>
      </c>
      <c r="N305" s="74"/>
      <c r="O305" s="1032">
        <v>350</v>
      </c>
      <c r="P305" s="110">
        <f>O305*L305</f>
        <v>3500</v>
      </c>
      <c r="Q305" s="1115"/>
      <c r="R305" s="1115"/>
      <c r="S305" s="1034"/>
    </row>
    <row r="306" spans="1:19" ht="17.25" customHeight="1">
      <c r="A306" s="299"/>
      <c r="B306" s="299"/>
      <c r="C306" s="1123" t="s">
        <v>1265</v>
      </c>
      <c r="D306" s="72"/>
      <c r="E306" s="72"/>
      <c r="F306" s="72"/>
      <c r="G306" s="72"/>
      <c r="H306" s="72"/>
      <c r="I306" s="74"/>
      <c r="J306" s="74"/>
      <c r="K306" s="72"/>
      <c r="L306" s="74">
        <v>10</v>
      </c>
      <c r="M306" s="74" t="s">
        <v>20</v>
      </c>
      <c r="N306" s="74"/>
      <c r="O306" s="1032">
        <v>350</v>
      </c>
      <c r="P306" s="110">
        <f>O306*L306</f>
        <v>3500</v>
      </c>
      <c r="Q306" s="1115"/>
      <c r="R306" s="1115"/>
      <c r="S306" s="143"/>
    </row>
    <row r="307" spans="1:19" ht="17.25" customHeight="1">
      <c r="A307" s="299"/>
      <c r="B307" s="299"/>
      <c r="C307" s="1123" t="s">
        <v>1266</v>
      </c>
      <c r="D307" s="72"/>
      <c r="E307" s="72"/>
      <c r="F307" s="72"/>
      <c r="G307" s="72"/>
      <c r="H307" s="72"/>
      <c r="I307" s="74"/>
      <c r="J307" s="74"/>
      <c r="K307" s="72"/>
      <c r="L307" s="74">
        <v>10</v>
      </c>
      <c r="M307" s="74" t="s">
        <v>20</v>
      </c>
      <c r="N307" s="74"/>
      <c r="O307" s="1032">
        <v>400</v>
      </c>
      <c r="P307" s="110">
        <f>O307*L307</f>
        <v>4000</v>
      </c>
      <c r="Q307" s="1115"/>
      <c r="R307" s="1115"/>
      <c r="S307" s="1033"/>
    </row>
    <row r="308" spans="1:19" ht="17.25" customHeight="1">
      <c r="A308" s="299"/>
      <c r="B308" s="299"/>
      <c r="C308" s="1123" t="s">
        <v>1267</v>
      </c>
      <c r="D308" s="72"/>
      <c r="E308" s="72"/>
      <c r="F308" s="72"/>
      <c r="G308" s="72"/>
      <c r="H308" s="72"/>
      <c r="I308" s="74"/>
      <c r="J308" s="74"/>
      <c r="K308" s="72"/>
      <c r="L308" s="74">
        <v>10</v>
      </c>
      <c r="M308" s="74" t="s">
        <v>20</v>
      </c>
      <c r="N308" s="74"/>
      <c r="O308" s="1032">
        <v>1000</v>
      </c>
      <c r="P308" s="110">
        <f>O308*L308</f>
        <v>10000</v>
      </c>
      <c r="Q308" s="1115"/>
      <c r="R308" s="1115"/>
      <c r="S308" s="1033"/>
    </row>
    <row r="309" spans="1:19" ht="17.25" customHeight="1">
      <c r="A309" s="299"/>
      <c r="B309" s="299"/>
      <c r="C309" s="1123" t="s">
        <v>1268</v>
      </c>
      <c r="D309" s="72"/>
      <c r="E309" s="72"/>
      <c r="F309" s="72"/>
      <c r="G309" s="72"/>
      <c r="H309" s="72"/>
      <c r="I309" s="74"/>
      <c r="J309" s="74"/>
      <c r="K309" s="72"/>
      <c r="L309" s="74">
        <v>10</v>
      </c>
      <c r="M309" s="74" t="s">
        <v>20</v>
      </c>
      <c r="N309" s="74"/>
      <c r="O309" s="1032">
        <v>500</v>
      </c>
      <c r="P309" s="110">
        <f>O309*L309</f>
        <v>5000</v>
      </c>
      <c r="Q309" s="1115"/>
      <c r="R309" s="1115"/>
      <c r="S309" s="1033"/>
    </row>
    <row r="310" spans="1:19" ht="17.25" customHeight="1">
      <c r="A310" s="299"/>
      <c r="B310" s="299"/>
      <c r="C310" s="1142" t="s">
        <v>1344</v>
      </c>
      <c r="D310" s="72"/>
      <c r="E310" s="72"/>
      <c r="F310" s="72"/>
      <c r="G310" s="72"/>
      <c r="H310" s="72"/>
      <c r="I310" s="74"/>
      <c r="J310" s="74"/>
      <c r="K310" s="72"/>
      <c r="L310" s="74"/>
      <c r="M310" s="74"/>
      <c r="N310" s="74"/>
      <c r="O310" s="1032" t="s">
        <v>159</v>
      </c>
      <c r="P310" s="110">
        <v>153600</v>
      </c>
      <c r="Q310" s="1115"/>
      <c r="R310" s="1115"/>
      <c r="S310" s="1033"/>
    </row>
    <row r="311" spans="1:19" ht="17.25" customHeight="1">
      <c r="A311" s="299"/>
      <c r="B311" s="299"/>
      <c r="C311" s="1132" t="s">
        <v>1345</v>
      </c>
      <c r="D311" s="72"/>
      <c r="E311" s="72"/>
      <c r="F311" s="72"/>
      <c r="G311" s="72"/>
      <c r="H311" s="72"/>
      <c r="I311" s="74"/>
      <c r="J311" s="74"/>
      <c r="K311" s="72"/>
      <c r="L311" s="74"/>
      <c r="M311" s="74"/>
      <c r="N311" s="74"/>
      <c r="O311" s="1032"/>
      <c r="P311" s="1013"/>
      <c r="Q311" s="1115"/>
      <c r="R311" s="1115"/>
      <c r="S311" s="1033"/>
    </row>
    <row r="312" spans="1:19" ht="17.25" customHeight="1">
      <c r="A312" s="299"/>
      <c r="B312" s="299"/>
      <c r="C312" s="1133" t="s">
        <v>1315</v>
      </c>
      <c r="D312" s="72"/>
      <c r="E312" s="72"/>
      <c r="F312" s="72"/>
      <c r="G312" s="72"/>
      <c r="H312" s="72"/>
      <c r="I312" s="74"/>
      <c r="J312" s="74"/>
      <c r="K312" s="72"/>
      <c r="L312" s="74"/>
      <c r="M312" s="74"/>
      <c r="N312" s="74"/>
      <c r="O312" s="1032"/>
      <c r="P312" s="109">
        <f>SUM(P313+P320+P325+P329)</f>
        <v>4750000</v>
      </c>
      <c r="Q312" s="1115"/>
      <c r="R312" s="1115"/>
      <c r="S312" s="1033"/>
    </row>
    <row r="313" spans="1:19" ht="17.25" customHeight="1">
      <c r="A313" s="299"/>
      <c r="B313" s="299"/>
      <c r="C313" s="1142" t="s">
        <v>1346</v>
      </c>
      <c r="D313" s="72"/>
      <c r="E313" s="72"/>
      <c r="F313" s="72"/>
      <c r="G313" s="72"/>
      <c r="H313" s="72"/>
      <c r="I313" s="74"/>
      <c r="J313" s="74"/>
      <c r="K313" s="72"/>
      <c r="L313" s="74"/>
      <c r="M313" s="74"/>
      <c r="N313" s="74"/>
      <c r="O313" s="1032"/>
      <c r="P313" s="110">
        <f>SUM(P315:P319)</f>
        <v>388200</v>
      </c>
      <c r="Q313" s="1115"/>
      <c r="R313" s="1115"/>
      <c r="S313" s="1033"/>
    </row>
    <row r="314" spans="1:19" ht="17.25" customHeight="1">
      <c r="A314" s="299"/>
      <c r="B314" s="299"/>
      <c r="C314" s="1123" t="s">
        <v>1251</v>
      </c>
      <c r="D314" s="72"/>
      <c r="E314" s="72"/>
      <c r="F314" s="72"/>
      <c r="G314" s="72"/>
      <c r="H314" s="72"/>
      <c r="I314" s="74"/>
      <c r="J314" s="74"/>
      <c r="K314" s="72"/>
      <c r="L314" s="74">
        <v>10</v>
      </c>
      <c r="M314" s="74" t="s">
        <v>361</v>
      </c>
      <c r="N314" s="74"/>
      <c r="O314" s="1032">
        <v>600</v>
      </c>
      <c r="P314" s="110">
        <f>L314*O314</f>
        <v>6000</v>
      </c>
      <c r="Q314" s="1115"/>
      <c r="R314" s="1115"/>
      <c r="S314" s="1033"/>
    </row>
    <row r="315" spans="1:19" ht="17.25" customHeight="1">
      <c r="A315" s="299"/>
      <c r="B315" s="299"/>
      <c r="C315" s="1123" t="s">
        <v>1269</v>
      </c>
      <c r="D315" s="72"/>
      <c r="E315" s="72"/>
      <c r="F315" s="72"/>
      <c r="G315" s="72"/>
      <c r="H315" s="72"/>
      <c r="I315" s="74"/>
      <c r="J315" s="74"/>
      <c r="K315" s="72"/>
      <c r="L315" s="74">
        <v>10</v>
      </c>
      <c r="M315" s="74" t="s">
        <v>361</v>
      </c>
      <c r="N315" s="74"/>
      <c r="O315" s="1032">
        <v>7200</v>
      </c>
      <c r="P315" s="110">
        <f>L315*O315</f>
        <v>72000</v>
      </c>
      <c r="Q315" s="1115"/>
      <c r="R315" s="1115"/>
      <c r="S315" s="1033"/>
    </row>
    <row r="316" spans="1:19" ht="17.25" customHeight="1">
      <c r="A316" s="299"/>
      <c r="B316" s="299"/>
      <c r="C316" s="1123" t="s">
        <v>1270</v>
      </c>
      <c r="D316" s="72"/>
      <c r="E316" s="72"/>
      <c r="F316" s="72"/>
      <c r="G316" s="72"/>
      <c r="H316" s="72"/>
      <c r="I316" s="74"/>
      <c r="J316" s="74"/>
      <c r="K316" s="72"/>
      <c r="L316" s="74">
        <v>1</v>
      </c>
      <c r="M316" s="74" t="s">
        <v>33</v>
      </c>
      <c r="N316" s="74"/>
      <c r="O316" s="1032">
        <v>12000</v>
      </c>
      <c r="P316" s="110">
        <f>L316*O316</f>
        <v>12000</v>
      </c>
      <c r="Q316" s="1115"/>
      <c r="R316" s="1115"/>
      <c r="S316" s="1033"/>
    </row>
    <row r="317" spans="1:19" ht="17.25" customHeight="1">
      <c r="A317" s="299"/>
      <c r="B317" s="299"/>
      <c r="C317" s="1123" t="s">
        <v>1271</v>
      </c>
      <c r="D317" s="72"/>
      <c r="E317" s="72"/>
      <c r="F317" s="72"/>
      <c r="G317" s="72"/>
      <c r="H317" s="72"/>
      <c r="I317" s="74"/>
      <c r="J317" s="74"/>
      <c r="K317" s="72"/>
      <c r="L317" s="74">
        <v>60</v>
      </c>
      <c r="M317" s="74" t="s">
        <v>19</v>
      </c>
      <c r="N317" s="74"/>
      <c r="O317" s="1032">
        <v>70</v>
      </c>
      <c r="P317" s="110">
        <f>O317*L317</f>
        <v>4200</v>
      </c>
      <c r="Q317" s="1115"/>
      <c r="R317" s="1115"/>
      <c r="S317" s="1033"/>
    </row>
    <row r="318" spans="1:19" ht="17.25" customHeight="1">
      <c r="A318" s="299"/>
      <c r="B318" s="299"/>
      <c r="C318" s="1123" t="s">
        <v>1272</v>
      </c>
      <c r="D318" s="72"/>
      <c r="E318" s="72"/>
      <c r="F318" s="72"/>
      <c r="G318" s="72"/>
      <c r="H318" s="72"/>
      <c r="I318" s="74"/>
      <c r="J318" s="74"/>
      <c r="K318" s="72"/>
      <c r="L318" s="186">
        <v>50000</v>
      </c>
      <c r="M318" s="74" t="s">
        <v>637</v>
      </c>
      <c r="N318" s="74"/>
      <c r="O318" s="1032"/>
      <c r="P318" s="110">
        <f>L318</f>
        <v>50000</v>
      </c>
      <c r="Q318" s="1115"/>
      <c r="R318" s="1115"/>
      <c r="S318" s="1033"/>
    </row>
    <row r="319" spans="1:19" ht="17.25" customHeight="1">
      <c r="A319" s="299"/>
      <c r="B319" s="299"/>
      <c r="C319" s="1123" t="s">
        <v>1273</v>
      </c>
      <c r="D319" s="72"/>
      <c r="E319" s="72"/>
      <c r="F319" s="72"/>
      <c r="G319" s="72"/>
      <c r="H319" s="72"/>
      <c r="I319" s="74"/>
      <c r="J319" s="74"/>
      <c r="K319" s="72"/>
      <c r="L319" s="186">
        <v>500</v>
      </c>
      <c r="M319" s="74" t="s">
        <v>814</v>
      </c>
      <c r="N319" s="74"/>
      <c r="O319" s="1032">
        <v>500</v>
      </c>
      <c r="P319" s="110">
        <f>O319*L319</f>
        <v>250000</v>
      </c>
      <c r="Q319" s="1115"/>
      <c r="R319" s="1115"/>
      <c r="S319" s="1033"/>
    </row>
    <row r="320" spans="1:19" ht="17.25" customHeight="1">
      <c r="A320" s="344"/>
      <c r="B320" s="344"/>
      <c r="C320" s="1142" t="s">
        <v>1347</v>
      </c>
      <c r="D320" s="72"/>
      <c r="E320" s="72"/>
      <c r="F320" s="72"/>
      <c r="G320" s="72"/>
      <c r="H320" s="72"/>
      <c r="I320" s="74"/>
      <c r="J320" s="74"/>
      <c r="K320" s="72"/>
      <c r="L320" s="186"/>
      <c r="M320" s="74"/>
      <c r="N320" s="74"/>
      <c r="O320" s="1032"/>
      <c r="P320" s="110">
        <f>SUM(P321:P324)</f>
        <v>223000</v>
      </c>
      <c r="Q320" s="1115"/>
      <c r="R320" s="1115"/>
      <c r="S320" s="1033"/>
    </row>
    <row r="321" spans="1:22" ht="17.25" customHeight="1">
      <c r="A321" s="299"/>
      <c r="B321" s="299"/>
      <c r="C321" s="1123" t="s">
        <v>1274</v>
      </c>
      <c r="D321" s="72"/>
      <c r="E321" s="72"/>
      <c r="F321" s="72"/>
      <c r="G321" s="72"/>
      <c r="H321" s="72"/>
      <c r="I321" s="74"/>
      <c r="J321" s="74"/>
      <c r="K321" s="72"/>
      <c r="L321" s="186">
        <v>600</v>
      </c>
      <c r="M321" s="74" t="s">
        <v>814</v>
      </c>
      <c r="N321" s="74"/>
      <c r="O321" s="1032">
        <v>240</v>
      </c>
      <c r="P321" s="110">
        <f>O321*L321</f>
        <v>144000</v>
      </c>
      <c r="Q321" s="1115"/>
      <c r="R321" s="1115"/>
      <c r="S321" s="1033"/>
    </row>
    <row r="322" spans="1:22" ht="17.25" customHeight="1">
      <c r="A322" s="299"/>
      <c r="B322" s="299"/>
      <c r="C322" s="1123" t="s">
        <v>1275</v>
      </c>
      <c r="D322" s="72"/>
      <c r="E322" s="72"/>
      <c r="F322" s="72"/>
      <c r="G322" s="72"/>
      <c r="H322" s="72"/>
      <c r="I322" s="74"/>
      <c r="J322" s="74"/>
      <c r="K322" s="72"/>
      <c r="L322" s="186">
        <v>200</v>
      </c>
      <c r="M322" s="74" t="s">
        <v>814</v>
      </c>
      <c r="N322" s="74"/>
      <c r="O322" s="1032">
        <v>240</v>
      </c>
      <c r="P322" s="110">
        <f>O322*L322</f>
        <v>48000</v>
      </c>
      <c r="Q322" s="1115"/>
      <c r="R322" s="1115"/>
      <c r="S322" s="1033"/>
    </row>
    <row r="323" spans="1:22" ht="17.25" customHeight="1">
      <c r="A323" s="299"/>
      <c r="B323" s="299"/>
      <c r="C323" s="1123" t="s">
        <v>1276</v>
      </c>
      <c r="D323" s="72"/>
      <c r="E323" s="72"/>
      <c r="F323" s="72"/>
      <c r="G323" s="72"/>
      <c r="H323" s="72"/>
      <c r="I323" s="74"/>
      <c r="J323" s="74"/>
      <c r="K323" s="72"/>
      <c r="L323" s="186">
        <v>2000</v>
      </c>
      <c r="M323" s="74" t="s">
        <v>19</v>
      </c>
      <c r="N323" s="74"/>
      <c r="O323" s="1032">
        <v>10</v>
      </c>
      <c r="P323" s="110">
        <f>O323*L323</f>
        <v>20000</v>
      </c>
      <c r="Q323" s="1115"/>
      <c r="R323" s="1115"/>
      <c r="S323" s="1033"/>
    </row>
    <row r="324" spans="1:22" ht="17.25" customHeight="1">
      <c r="A324" s="299"/>
      <c r="B324" s="299"/>
      <c r="C324" s="1123" t="s">
        <v>1277</v>
      </c>
      <c r="D324" s="72"/>
      <c r="E324" s="72"/>
      <c r="F324" s="72"/>
      <c r="G324" s="72"/>
      <c r="H324" s="72"/>
      <c r="I324" s="74"/>
      <c r="J324" s="74"/>
      <c r="K324" s="72"/>
      <c r="L324" s="186">
        <v>2750</v>
      </c>
      <c r="M324" s="74" t="s">
        <v>19</v>
      </c>
      <c r="N324" s="74"/>
      <c r="O324" s="1032">
        <v>4</v>
      </c>
      <c r="P324" s="110">
        <f>O324*L324</f>
        <v>11000</v>
      </c>
      <c r="Q324" s="1115"/>
      <c r="R324" s="1115"/>
      <c r="S324" s="1033"/>
    </row>
    <row r="325" spans="1:22" ht="17.25" customHeight="1">
      <c r="A325" s="299"/>
      <c r="B325" s="299"/>
      <c r="C325" s="1142" t="s">
        <v>1348</v>
      </c>
      <c r="D325" s="72"/>
      <c r="E325" s="72"/>
      <c r="F325" s="72"/>
      <c r="G325" s="72"/>
      <c r="H325" s="72"/>
      <c r="I325" s="74"/>
      <c r="J325" s="74"/>
      <c r="K325" s="72"/>
      <c r="L325" s="186"/>
      <c r="M325" s="74"/>
      <c r="N325" s="74"/>
      <c r="O325" s="1032"/>
      <c r="P325" s="110">
        <f>SUM(P326:P328)</f>
        <v>4100000</v>
      </c>
      <c r="Q325" s="1115"/>
      <c r="R325" s="1115"/>
      <c r="S325" s="1033"/>
    </row>
    <row r="326" spans="1:22" ht="17.25" customHeight="1">
      <c r="A326" s="299"/>
      <c r="B326" s="299"/>
      <c r="C326" s="1123" t="s">
        <v>1278</v>
      </c>
      <c r="D326" s="72"/>
      <c r="E326" s="72"/>
      <c r="F326" s="72"/>
      <c r="G326" s="72"/>
      <c r="H326" s="72"/>
      <c r="I326" s="74"/>
      <c r="J326" s="74"/>
      <c r="K326" s="72"/>
      <c r="L326" s="186">
        <v>2500</v>
      </c>
      <c r="M326" s="74" t="s">
        <v>814</v>
      </c>
      <c r="N326" s="74"/>
      <c r="O326" s="1032">
        <v>40</v>
      </c>
      <c r="P326" s="110">
        <f>O326*L326</f>
        <v>100000</v>
      </c>
      <c r="Q326" s="1115"/>
      <c r="R326" s="1115"/>
      <c r="S326" s="1033"/>
    </row>
    <row r="327" spans="1:22" ht="17.25" customHeight="1">
      <c r="A327" s="299"/>
      <c r="B327" s="299"/>
      <c r="C327" s="1123" t="s">
        <v>1279</v>
      </c>
      <c r="D327" s="72"/>
      <c r="E327" s="72"/>
      <c r="F327" s="72"/>
      <c r="G327" s="72"/>
      <c r="H327" s="72"/>
      <c r="I327" s="74"/>
      <c r="J327" s="74"/>
      <c r="K327" s="72"/>
      <c r="L327" s="186">
        <v>30000</v>
      </c>
      <c r="M327" s="74" t="s">
        <v>814</v>
      </c>
      <c r="N327" s="74"/>
      <c r="O327" s="1032">
        <v>40</v>
      </c>
      <c r="P327" s="110">
        <f>O327*L327</f>
        <v>1200000</v>
      </c>
      <c r="Q327" s="1115"/>
      <c r="R327" s="1115"/>
      <c r="S327" s="1033"/>
    </row>
    <row r="328" spans="1:22" ht="17.25" customHeight="1">
      <c r="A328" s="299"/>
      <c r="B328" s="299"/>
      <c r="C328" s="1123" t="s">
        <v>1280</v>
      </c>
      <c r="D328" s="72"/>
      <c r="E328" s="72"/>
      <c r="F328" s="72"/>
      <c r="G328" s="72"/>
      <c r="H328" s="72"/>
      <c r="I328" s="74"/>
      <c r="J328" s="74"/>
      <c r="K328" s="72"/>
      <c r="L328" s="186">
        <v>70000</v>
      </c>
      <c r="M328" s="74" t="s">
        <v>814</v>
      </c>
      <c r="N328" s="74"/>
      <c r="O328" s="1032">
        <v>40</v>
      </c>
      <c r="P328" s="110">
        <f>O328*L328</f>
        <v>2800000</v>
      </c>
      <c r="Q328" s="1115"/>
      <c r="R328" s="1115"/>
      <c r="S328" s="1033"/>
    </row>
    <row r="329" spans="1:22" ht="17.25" customHeight="1">
      <c r="A329" s="299"/>
      <c r="B329" s="299"/>
      <c r="C329" s="1123" t="s">
        <v>1281</v>
      </c>
      <c r="D329" s="72"/>
      <c r="E329" s="72"/>
      <c r="F329" s="72"/>
      <c r="G329" s="72"/>
      <c r="H329" s="72"/>
      <c r="I329" s="74"/>
      <c r="J329" s="74"/>
      <c r="K329" s="72"/>
      <c r="L329" s="186"/>
      <c r="M329" s="74"/>
      <c r="N329" s="74"/>
      <c r="O329" s="1032"/>
      <c r="P329" s="110">
        <f>SUM(P330:P334)</f>
        <v>38800</v>
      </c>
      <c r="Q329" s="1115"/>
      <c r="R329" s="1115"/>
      <c r="S329" s="1033"/>
    </row>
    <row r="330" spans="1:22" ht="17.25" customHeight="1">
      <c r="A330" s="299"/>
      <c r="B330" s="299"/>
      <c r="C330" s="1123" t="s">
        <v>1177</v>
      </c>
      <c r="D330" s="72"/>
      <c r="E330" s="72"/>
      <c r="F330" s="72"/>
      <c r="G330" s="72"/>
      <c r="H330" s="72"/>
      <c r="I330" s="74"/>
      <c r="J330" s="74"/>
      <c r="K330" s="72"/>
      <c r="L330" s="186">
        <v>500</v>
      </c>
      <c r="M330" s="74" t="s">
        <v>814</v>
      </c>
      <c r="N330" s="74"/>
      <c r="O330" s="1032">
        <v>8</v>
      </c>
      <c r="P330" s="110">
        <f>O330*L330</f>
        <v>4000</v>
      </c>
      <c r="Q330" s="1115"/>
      <c r="R330" s="1115"/>
      <c r="S330" s="1034"/>
    </row>
    <row r="331" spans="1:22" ht="17.25" customHeight="1">
      <c r="A331" s="299"/>
      <c r="B331" s="299"/>
      <c r="C331" s="1123" t="s">
        <v>1178</v>
      </c>
      <c r="D331" s="72"/>
      <c r="E331" s="72"/>
      <c r="F331" s="72"/>
      <c r="G331" s="72"/>
      <c r="H331" s="72"/>
      <c r="I331" s="74"/>
      <c r="J331" s="74"/>
      <c r="K331" s="72"/>
      <c r="L331" s="186">
        <v>600</v>
      </c>
      <c r="M331" s="74" t="s">
        <v>814</v>
      </c>
      <c r="N331" s="74"/>
      <c r="O331" s="1032">
        <v>8</v>
      </c>
      <c r="P331" s="110">
        <f>O331*L331</f>
        <v>4800</v>
      </c>
      <c r="Q331" s="1115"/>
      <c r="R331" s="1115"/>
      <c r="S331" s="143"/>
    </row>
    <row r="332" spans="1:22" ht="17.25" customHeight="1">
      <c r="A332" s="299"/>
      <c r="B332" s="299"/>
      <c r="C332" s="1123" t="s">
        <v>1179</v>
      </c>
      <c r="D332" s="72"/>
      <c r="E332" s="72"/>
      <c r="F332" s="72"/>
      <c r="G332" s="72"/>
      <c r="H332" s="72"/>
      <c r="I332" s="74"/>
      <c r="J332" s="74"/>
      <c r="K332" s="72"/>
      <c r="L332" s="186">
        <v>1000</v>
      </c>
      <c r="M332" s="74" t="s">
        <v>814</v>
      </c>
      <c r="N332" s="74"/>
      <c r="O332" s="1032">
        <v>8</v>
      </c>
      <c r="P332" s="110">
        <f>O332*L332</f>
        <v>8000</v>
      </c>
      <c r="Q332" s="1115"/>
      <c r="R332" s="1115"/>
      <c r="S332" s="143"/>
    </row>
    <row r="333" spans="1:22" ht="17.25" customHeight="1">
      <c r="A333" s="299"/>
      <c r="B333" s="299"/>
      <c r="C333" s="1123" t="s">
        <v>166</v>
      </c>
      <c r="D333" s="72"/>
      <c r="E333" s="72"/>
      <c r="F333" s="72"/>
      <c r="G333" s="72"/>
      <c r="H333" s="72"/>
      <c r="I333" s="74"/>
      <c r="J333" s="74"/>
      <c r="K333" s="72"/>
      <c r="L333" s="186">
        <v>1500</v>
      </c>
      <c r="M333" s="74" t="s">
        <v>814</v>
      </c>
      <c r="N333" s="74"/>
      <c r="O333" s="1032">
        <v>8</v>
      </c>
      <c r="P333" s="110">
        <f>O333*L333</f>
        <v>12000</v>
      </c>
      <c r="Q333" s="1115"/>
      <c r="R333" s="1115"/>
      <c r="S333" s="143"/>
    </row>
    <row r="334" spans="1:22" ht="17.25" customHeight="1">
      <c r="A334" s="299"/>
      <c r="B334" s="299"/>
      <c r="C334" s="1123" t="s">
        <v>1180</v>
      </c>
      <c r="D334" s="72"/>
      <c r="E334" s="72"/>
      <c r="F334" s="72"/>
      <c r="G334" s="72"/>
      <c r="H334" s="72"/>
      <c r="I334" s="74"/>
      <c r="J334" s="74"/>
      <c r="K334" s="72"/>
      <c r="L334" s="186">
        <v>500</v>
      </c>
      <c r="M334" s="74" t="s">
        <v>814</v>
      </c>
      <c r="N334" s="74"/>
      <c r="O334" s="1032">
        <v>20</v>
      </c>
      <c r="P334" s="110">
        <f>O334*L334</f>
        <v>10000</v>
      </c>
      <c r="Q334" s="1115"/>
      <c r="R334" s="1115"/>
      <c r="S334" s="143"/>
    </row>
    <row r="335" spans="1:22" ht="33" customHeight="1">
      <c r="A335" s="299"/>
      <c r="B335" s="299"/>
      <c r="C335" s="1777" t="s">
        <v>1349</v>
      </c>
      <c r="D335" s="1777"/>
      <c r="E335" s="1777"/>
      <c r="F335" s="1777"/>
      <c r="G335" s="1778"/>
      <c r="H335" s="1078"/>
      <c r="I335" s="1079"/>
      <c r="J335" s="1079"/>
      <c r="K335" s="1078"/>
      <c r="L335" s="1079"/>
      <c r="M335" s="1079"/>
      <c r="N335" s="1079"/>
      <c r="O335" s="1080"/>
      <c r="P335" s="1081">
        <f>SUM(P337+P374+P381+P388)</f>
        <v>6022500</v>
      </c>
      <c r="Q335" s="1115"/>
      <c r="R335" s="1115"/>
      <c r="S335" s="143"/>
    </row>
    <row r="336" spans="1:22" s="39" customFormat="1" ht="23.25" customHeight="1">
      <c r="A336" s="299"/>
      <c r="B336" s="299"/>
      <c r="C336" s="1143" t="s">
        <v>1350</v>
      </c>
      <c r="D336" s="1072"/>
      <c r="E336" s="1072"/>
      <c r="F336" s="1072"/>
      <c r="G336" s="1073"/>
      <c r="H336" s="1074"/>
      <c r="I336" s="1074"/>
      <c r="J336" s="1074"/>
      <c r="K336" s="1074"/>
      <c r="L336" s="1075"/>
      <c r="M336" s="1075"/>
      <c r="N336" s="1075"/>
      <c r="O336" s="1076"/>
      <c r="P336" s="1077"/>
      <c r="Q336" s="1115"/>
      <c r="R336" s="1115"/>
      <c r="S336" s="143"/>
      <c r="T336" s="1037"/>
      <c r="U336" s="1036"/>
      <c r="V336" s="1036"/>
    </row>
    <row r="337" spans="1:22" s="39" customFormat="1" ht="21.75" customHeight="1">
      <c r="A337" s="299"/>
      <c r="B337" s="299"/>
      <c r="C337" s="1144" t="s">
        <v>1282</v>
      </c>
      <c r="D337" s="1038"/>
      <c r="E337" s="1038"/>
      <c r="F337" s="1038"/>
      <c r="G337" s="1039"/>
      <c r="H337" s="1040"/>
      <c r="I337" s="1040"/>
      <c r="J337" s="1040"/>
      <c r="K337" s="1040"/>
      <c r="L337" s="1041"/>
      <c r="M337" s="1041"/>
      <c r="N337" s="1041"/>
      <c r="O337" s="1042"/>
      <c r="P337" s="1035">
        <f>SUM(P338+P340+P354+P362+P367)</f>
        <v>3472300</v>
      </c>
      <c r="Q337" s="1115"/>
      <c r="R337" s="1115"/>
      <c r="S337" s="143"/>
      <c r="T337" s="1036"/>
      <c r="U337" s="1036"/>
      <c r="V337" s="1036"/>
    </row>
    <row r="338" spans="1:22" s="39" customFormat="1" ht="21.75" customHeight="1">
      <c r="A338" s="299"/>
      <c r="B338" s="299"/>
      <c r="C338" s="1145" t="s">
        <v>1351</v>
      </c>
      <c r="D338" s="1043"/>
      <c r="E338" s="1043"/>
      <c r="F338" s="1043"/>
      <c r="G338" s="1043"/>
      <c r="H338" s="1040"/>
      <c r="I338" s="1040"/>
      <c r="J338" s="1040"/>
      <c r="K338" s="1040"/>
      <c r="L338" s="1041"/>
      <c r="M338" s="1041"/>
      <c r="N338" s="1041"/>
      <c r="O338" s="1042"/>
      <c r="P338" s="1035">
        <f>P339</f>
        <v>100000</v>
      </c>
      <c r="Q338" s="1115"/>
      <c r="R338" s="1115"/>
      <c r="S338" s="143"/>
      <c r="T338" s="1036"/>
      <c r="U338" s="1036"/>
      <c r="V338" s="1036"/>
    </row>
    <row r="339" spans="1:22" s="39" customFormat="1" ht="21.75" customHeight="1">
      <c r="A339" s="299"/>
      <c r="B339" s="299"/>
      <c r="C339" s="239" t="s">
        <v>1352</v>
      </c>
      <c r="D339" s="1043"/>
      <c r="E339" s="1043"/>
      <c r="F339" s="1043"/>
      <c r="G339" s="1043"/>
      <c r="H339" s="1040"/>
      <c r="I339" s="1040"/>
      <c r="J339" s="1040"/>
      <c r="K339" s="1040"/>
      <c r="L339" s="1041"/>
      <c r="M339" s="1041"/>
      <c r="N339" s="1041"/>
      <c r="O339" s="1044" t="s">
        <v>159</v>
      </c>
      <c r="P339" s="1045">
        <f>100000</f>
        <v>100000</v>
      </c>
      <c r="Q339" s="1115"/>
      <c r="R339" s="1115"/>
      <c r="S339" s="143"/>
      <c r="T339" s="1036"/>
      <c r="U339" s="1036"/>
      <c r="V339" s="1036"/>
    </row>
    <row r="340" spans="1:22" s="39" customFormat="1" ht="21.75" customHeight="1">
      <c r="A340" s="299"/>
      <c r="B340" s="299"/>
      <c r="C340" s="1145" t="s">
        <v>1353</v>
      </c>
      <c r="D340" s="1043"/>
      <c r="E340" s="1043"/>
      <c r="F340" s="1043"/>
      <c r="G340" s="1043"/>
      <c r="H340" s="1040"/>
      <c r="I340" s="1040"/>
      <c r="J340" s="1040"/>
      <c r="K340" s="1040"/>
      <c r="L340" s="1041"/>
      <c r="M340" s="1041"/>
      <c r="N340" s="1041"/>
      <c r="O340" s="1042"/>
      <c r="P340" s="1035">
        <f>SUM(P341+P349)</f>
        <v>2854900</v>
      </c>
      <c r="Q340" s="1115"/>
      <c r="R340" s="1115"/>
      <c r="S340" s="143"/>
      <c r="T340" s="1036"/>
      <c r="U340" s="1036"/>
      <c r="V340" s="1036"/>
    </row>
    <row r="341" spans="1:22" s="39" customFormat="1" ht="21.75" customHeight="1">
      <c r="A341" s="299"/>
      <c r="B341" s="299"/>
      <c r="C341" s="1146" t="s">
        <v>1354</v>
      </c>
      <c r="D341" s="1043"/>
      <c r="E341" s="1043"/>
      <c r="F341" s="1043"/>
      <c r="G341" s="1043"/>
      <c r="H341" s="1040"/>
      <c r="I341" s="1040"/>
      <c r="J341" s="1040"/>
      <c r="K341" s="1040"/>
      <c r="L341" s="1041"/>
      <c r="M341" s="1041"/>
      <c r="N341" s="1041"/>
      <c r="O341" s="1042"/>
      <c r="P341" s="1035">
        <f>SUM(P342:P348)</f>
        <v>409900</v>
      </c>
      <c r="Q341" s="1115"/>
      <c r="R341" s="1115"/>
      <c r="S341" s="143"/>
      <c r="T341" s="1036"/>
      <c r="U341" s="1036"/>
      <c r="V341" s="1036"/>
    </row>
    <row r="342" spans="1:22" s="39" customFormat="1" ht="22.5" customHeight="1">
      <c r="A342" s="299"/>
      <c r="B342" s="299"/>
      <c r="C342" s="239" t="s">
        <v>1355</v>
      </c>
      <c r="D342" s="1043"/>
      <c r="E342" s="1043"/>
      <c r="F342" s="1043"/>
      <c r="G342" s="1043"/>
      <c r="H342" s="1040"/>
      <c r="I342" s="1040"/>
      <c r="J342" s="1040"/>
      <c r="K342" s="1040"/>
      <c r="L342" s="1041"/>
      <c r="M342" s="132">
        <v>250</v>
      </c>
      <c r="N342" s="132">
        <v>2</v>
      </c>
      <c r="O342" s="1046">
        <v>70</v>
      </c>
      <c r="P342" s="1045">
        <f t="shared" ref="P342:P347" si="15">M342*N342*O342</f>
        <v>35000</v>
      </c>
      <c r="Q342" s="1115"/>
      <c r="R342" s="1115"/>
      <c r="S342" s="143"/>
      <c r="T342" s="1036"/>
      <c r="U342" s="1036"/>
      <c r="V342" s="1036"/>
    </row>
    <row r="343" spans="1:22" s="39" customFormat="1" ht="22.5" customHeight="1">
      <c r="A343" s="299"/>
      <c r="B343" s="299"/>
      <c r="C343" s="239" t="s">
        <v>1356</v>
      </c>
      <c r="D343" s="1043"/>
      <c r="E343" s="1043"/>
      <c r="F343" s="1043"/>
      <c r="G343" s="1043"/>
      <c r="H343" s="1040"/>
      <c r="I343" s="1040"/>
      <c r="J343" s="1040"/>
      <c r="K343" s="1040"/>
      <c r="L343" s="1041"/>
      <c r="M343" s="132">
        <v>250</v>
      </c>
      <c r="N343" s="132">
        <v>2</v>
      </c>
      <c r="O343" s="1046">
        <v>500</v>
      </c>
      <c r="P343" s="1045">
        <f t="shared" si="15"/>
        <v>250000</v>
      </c>
      <c r="Q343" s="1115"/>
      <c r="R343" s="1115"/>
      <c r="S343" s="143"/>
      <c r="T343" s="1036"/>
      <c r="U343" s="1036"/>
      <c r="V343" s="1036"/>
    </row>
    <row r="344" spans="1:22" s="39" customFormat="1" ht="22.5" customHeight="1">
      <c r="A344" s="299"/>
      <c r="B344" s="299"/>
      <c r="C344" s="239" t="s">
        <v>1357</v>
      </c>
      <c r="D344" s="1043"/>
      <c r="E344" s="1043"/>
      <c r="F344" s="1043"/>
      <c r="G344" s="1043"/>
      <c r="H344" s="1040"/>
      <c r="I344" s="1040"/>
      <c r="J344" s="1040"/>
      <c r="K344" s="1040"/>
      <c r="L344" s="1041"/>
      <c r="M344" s="132">
        <v>250</v>
      </c>
      <c r="N344" s="132">
        <v>2</v>
      </c>
      <c r="O344" s="1046">
        <v>50</v>
      </c>
      <c r="P344" s="1045">
        <f t="shared" si="15"/>
        <v>25000</v>
      </c>
      <c r="Q344" s="1115"/>
      <c r="R344" s="1115"/>
      <c r="S344" s="143"/>
      <c r="T344" s="1036"/>
      <c r="U344" s="1036"/>
      <c r="V344" s="1036"/>
    </row>
    <row r="345" spans="1:22" s="39" customFormat="1" ht="22.5" customHeight="1">
      <c r="A345" s="344"/>
      <c r="B345" s="344"/>
      <c r="C345" s="1147" t="s">
        <v>1358</v>
      </c>
      <c r="D345" s="1043"/>
      <c r="E345" s="1043"/>
      <c r="F345" s="1043"/>
      <c r="G345" s="1043"/>
      <c r="H345" s="1040"/>
      <c r="I345" s="1040"/>
      <c r="J345" s="1040"/>
      <c r="K345" s="1040"/>
      <c r="L345" s="1041"/>
      <c r="M345" s="1047">
        <v>1</v>
      </c>
      <c r="N345" s="132">
        <v>7</v>
      </c>
      <c r="O345" s="1046">
        <v>1200</v>
      </c>
      <c r="P345" s="1045">
        <f t="shared" si="15"/>
        <v>8400</v>
      </c>
      <c r="Q345" s="1115"/>
      <c r="R345" s="1115"/>
      <c r="S345" s="143"/>
      <c r="T345" s="1036"/>
      <c r="U345" s="1036"/>
      <c r="V345" s="1036"/>
    </row>
    <row r="346" spans="1:22" s="39" customFormat="1" ht="22.5" customHeight="1">
      <c r="A346" s="299"/>
      <c r="B346" s="299"/>
      <c r="C346" s="1147" t="s">
        <v>1359</v>
      </c>
      <c r="D346" s="1043"/>
      <c r="E346" s="1043"/>
      <c r="F346" s="1043"/>
      <c r="G346" s="1043"/>
      <c r="H346" s="1040"/>
      <c r="I346" s="1040"/>
      <c r="J346" s="1040"/>
      <c r="K346" s="1040"/>
      <c r="L346" s="1041"/>
      <c r="M346" s="132">
        <v>1</v>
      </c>
      <c r="N346" s="132">
        <v>1</v>
      </c>
      <c r="O346" s="1046">
        <f>500*170</f>
        <v>85000</v>
      </c>
      <c r="P346" s="1045">
        <f t="shared" si="15"/>
        <v>85000</v>
      </c>
      <c r="Q346" s="1115"/>
      <c r="R346" s="1115"/>
      <c r="S346" s="936"/>
      <c r="T346" s="1036"/>
      <c r="U346" s="1036"/>
      <c r="V346" s="1036"/>
    </row>
    <row r="347" spans="1:22" s="39" customFormat="1" ht="22.5" customHeight="1">
      <c r="A347" s="299"/>
      <c r="B347" s="299"/>
      <c r="C347" s="239" t="s">
        <v>1360</v>
      </c>
      <c r="D347" s="1043"/>
      <c r="E347" s="1043"/>
      <c r="F347" s="1043"/>
      <c r="G347" s="1043"/>
      <c r="H347" s="1040"/>
      <c r="I347" s="1040"/>
      <c r="J347" s="1040"/>
      <c r="K347" s="1040"/>
      <c r="L347" s="1041"/>
      <c r="M347" s="132">
        <v>5</v>
      </c>
      <c r="N347" s="132">
        <v>1</v>
      </c>
      <c r="O347" s="1048">
        <v>300</v>
      </c>
      <c r="P347" s="1045">
        <f t="shared" si="15"/>
        <v>1500</v>
      </c>
      <c r="Q347" s="1115"/>
      <c r="R347" s="1115"/>
      <c r="S347" s="936"/>
      <c r="T347" s="1036"/>
      <c r="U347" s="1036"/>
      <c r="V347" s="1036"/>
    </row>
    <row r="348" spans="1:22" s="39" customFormat="1" ht="22.5" customHeight="1">
      <c r="A348" s="299"/>
      <c r="B348" s="299"/>
      <c r="C348" s="1147" t="s">
        <v>1361</v>
      </c>
      <c r="D348" s="1043"/>
      <c r="E348" s="1043"/>
      <c r="F348" s="1043"/>
      <c r="G348" s="1043"/>
      <c r="H348" s="1040"/>
      <c r="I348" s="1040"/>
      <c r="J348" s="1040"/>
      <c r="K348" s="1040"/>
      <c r="L348" s="1041"/>
      <c r="M348" s="132"/>
      <c r="N348" s="132"/>
      <c r="O348" s="1047" t="s">
        <v>159</v>
      </c>
      <c r="P348" s="1045">
        <f>5000</f>
        <v>5000</v>
      </c>
      <c r="Q348" s="1115"/>
      <c r="R348" s="1115"/>
      <c r="S348" s="936"/>
      <c r="T348" s="1036"/>
      <c r="U348" s="1036"/>
      <c r="V348" s="1036"/>
    </row>
    <row r="349" spans="1:22" s="39" customFormat="1" ht="22.5" customHeight="1">
      <c r="A349" s="299"/>
      <c r="B349" s="299"/>
      <c r="C349" s="1145" t="s">
        <v>1362</v>
      </c>
      <c r="D349" s="1043"/>
      <c r="E349" s="1043"/>
      <c r="F349" s="1043"/>
      <c r="G349" s="1043"/>
      <c r="H349" s="1040"/>
      <c r="I349" s="1040"/>
      <c r="J349" s="1040"/>
      <c r="K349" s="1040"/>
      <c r="L349" s="1041"/>
      <c r="M349" s="132"/>
      <c r="N349" s="132"/>
      <c r="O349" s="1049"/>
      <c r="P349" s="1045">
        <f>SUM(P350:P353)</f>
        <v>2445000</v>
      </c>
      <c r="Q349" s="1115"/>
      <c r="R349" s="1115"/>
      <c r="S349" s="1050"/>
      <c r="T349" s="1036"/>
      <c r="U349" s="1036"/>
      <c r="V349" s="1036"/>
    </row>
    <row r="350" spans="1:22" s="39" customFormat="1" ht="22.5" customHeight="1">
      <c r="A350" s="299"/>
      <c r="B350" s="299"/>
      <c r="C350" s="1147" t="s">
        <v>1363</v>
      </c>
      <c r="D350" s="1043"/>
      <c r="E350" s="1043"/>
      <c r="F350" s="1043"/>
      <c r="G350" s="1043"/>
      <c r="H350" s="1040"/>
      <c r="I350" s="1040"/>
      <c r="J350" s="1040"/>
      <c r="K350" s="1040"/>
      <c r="L350" s="1041"/>
      <c r="M350" s="132">
        <v>200</v>
      </c>
      <c r="N350" s="132">
        <v>2</v>
      </c>
      <c r="O350" s="1046">
        <v>2500</v>
      </c>
      <c r="P350" s="1045">
        <f>M350*N350*O350</f>
        <v>1000000</v>
      </c>
      <c r="Q350" s="1115"/>
      <c r="R350" s="1115"/>
      <c r="S350" s="1050"/>
      <c r="T350" s="1036"/>
      <c r="U350" s="1036"/>
      <c r="V350" s="1036"/>
    </row>
    <row r="351" spans="1:22" s="39" customFormat="1" ht="21.75" customHeight="1">
      <c r="A351" s="299"/>
      <c r="B351" s="299"/>
      <c r="C351" s="1147" t="s">
        <v>1364</v>
      </c>
      <c r="D351" s="1043"/>
      <c r="E351" s="1043"/>
      <c r="F351" s="1043"/>
      <c r="G351" s="1043"/>
      <c r="H351" s="1040"/>
      <c r="I351" s="1040"/>
      <c r="J351" s="1040"/>
      <c r="K351" s="1040"/>
      <c r="L351" s="1041"/>
      <c r="M351" s="132">
        <v>4</v>
      </c>
      <c r="N351" s="132">
        <v>200</v>
      </c>
      <c r="O351" s="1046">
        <v>1200</v>
      </c>
      <c r="P351" s="1045">
        <f>M351*N351*O351</f>
        <v>960000</v>
      </c>
      <c r="Q351" s="1115"/>
      <c r="R351" s="1115"/>
      <c r="S351" s="1050"/>
      <c r="T351" s="1036"/>
      <c r="U351" s="1036"/>
      <c r="V351" s="1036"/>
    </row>
    <row r="352" spans="1:22" s="39" customFormat="1" ht="21.75" customHeight="1">
      <c r="A352" s="299"/>
      <c r="B352" s="299"/>
      <c r="C352" s="1147" t="s">
        <v>1365</v>
      </c>
      <c r="D352" s="1043"/>
      <c r="E352" s="1043"/>
      <c r="F352" s="1043"/>
      <c r="G352" s="1043"/>
      <c r="H352" s="1040"/>
      <c r="I352" s="1040"/>
      <c r="J352" s="1040"/>
      <c r="K352" s="1040"/>
      <c r="L352" s="1041"/>
      <c r="M352" s="132">
        <v>4</v>
      </c>
      <c r="N352" s="132">
        <v>400</v>
      </c>
      <c r="O352" s="1046">
        <v>300</v>
      </c>
      <c r="P352" s="1045">
        <f>M352*N352*O352</f>
        <v>480000</v>
      </c>
      <c r="Q352" s="1115"/>
      <c r="R352" s="1115"/>
      <c r="S352" s="1050"/>
      <c r="T352" s="1036"/>
      <c r="U352" s="1036"/>
      <c r="V352" s="1036"/>
    </row>
    <row r="353" spans="1:22" s="39" customFormat="1" ht="21.75" customHeight="1">
      <c r="A353" s="299"/>
      <c r="B353" s="299"/>
      <c r="C353" s="1147" t="s">
        <v>1366</v>
      </c>
      <c r="D353" s="1043"/>
      <c r="E353" s="1043"/>
      <c r="F353" s="1043"/>
      <c r="G353" s="1043"/>
      <c r="H353" s="1040"/>
      <c r="I353" s="1040"/>
      <c r="J353" s="1040"/>
      <c r="K353" s="1040"/>
      <c r="L353" s="1041"/>
      <c r="M353" s="132"/>
      <c r="N353" s="132"/>
      <c r="O353" s="1047" t="s">
        <v>159</v>
      </c>
      <c r="P353" s="1045">
        <f>5000</f>
        <v>5000</v>
      </c>
      <c r="Q353" s="1115"/>
      <c r="R353" s="1115"/>
      <c r="S353" s="1050"/>
      <c r="T353" s="1036"/>
      <c r="U353" s="1036"/>
      <c r="V353" s="1036"/>
    </row>
    <row r="354" spans="1:22" s="39" customFormat="1" ht="21.75" customHeight="1">
      <c r="A354" s="299"/>
      <c r="B354" s="299"/>
      <c r="C354" s="1148" t="s">
        <v>1367</v>
      </c>
      <c r="D354" s="1043"/>
      <c r="E354" s="1043"/>
      <c r="F354" s="1043"/>
      <c r="G354" s="1043"/>
      <c r="H354" s="1040"/>
      <c r="I354" s="1040"/>
      <c r="J354" s="1040"/>
      <c r="K354" s="1040"/>
      <c r="L354" s="1041"/>
      <c r="M354" s="1041"/>
      <c r="N354" s="1041"/>
      <c r="O354" s="1042"/>
      <c r="P354" s="1035">
        <f>SUM(P355:P361)</f>
        <v>317900</v>
      </c>
      <c r="Q354" s="1115"/>
      <c r="R354" s="1115"/>
      <c r="S354" s="1050"/>
      <c r="T354" s="1036"/>
      <c r="U354" s="1036"/>
      <c r="V354" s="1036"/>
    </row>
    <row r="355" spans="1:22" s="39" customFormat="1" ht="21.75">
      <c r="A355" s="299"/>
      <c r="B355" s="299"/>
      <c r="C355" s="239" t="s">
        <v>1368</v>
      </c>
      <c r="D355" s="1043"/>
      <c r="E355" s="1043"/>
      <c r="F355" s="1043"/>
      <c r="G355" s="1043"/>
      <c r="H355" s="1040"/>
      <c r="I355" s="1040"/>
      <c r="J355" s="1040"/>
      <c r="K355" s="1040"/>
      <c r="L355" s="1041"/>
      <c r="M355" s="132">
        <v>300</v>
      </c>
      <c r="N355" s="132">
        <v>1</v>
      </c>
      <c r="O355" s="1046">
        <v>500</v>
      </c>
      <c r="P355" s="1045">
        <f t="shared" ref="P355:P360" si="16">M355*N355*O355</f>
        <v>150000</v>
      </c>
      <c r="Q355" s="1115"/>
      <c r="R355" s="1115"/>
      <c r="S355" s="1050"/>
      <c r="T355" s="1036"/>
      <c r="U355" s="1036"/>
      <c r="V355" s="1036"/>
    </row>
    <row r="356" spans="1:22" s="39" customFormat="1" ht="21.75">
      <c r="A356" s="299"/>
      <c r="B356" s="299"/>
      <c r="C356" s="239" t="s">
        <v>1369</v>
      </c>
      <c r="D356" s="1043"/>
      <c r="E356" s="1043"/>
      <c r="F356" s="1043"/>
      <c r="G356" s="1043"/>
      <c r="H356" s="1040"/>
      <c r="I356" s="1040"/>
      <c r="J356" s="1040"/>
      <c r="K356" s="1040"/>
      <c r="L356" s="1041"/>
      <c r="M356" s="132">
        <v>1</v>
      </c>
      <c r="N356" s="132">
        <v>1</v>
      </c>
      <c r="O356" s="1046">
        <f>600*170</f>
        <v>102000</v>
      </c>
      <c r="P356" s="1045">
        <f t="shared" si="16"/>
        <v>102000</v>
      </c>
      <c r="Q356" s="1115"/>
      <c r="R356" s="1115"/>
      <c r="S356" s="1050"/>
      <c r="T356" s="1036"/>
      <c r="U356" s="1036"/>
      <c r="V356" s="1036"/>
    </row>
    <row r="357" spans="1:22" s="39" customFormat="1" ht="21.75">
      <c r="A357" s="299"/>
      <c r="B357" s="299"/>
      <c r="C357" s="1147" t="s">
        <v>1370</v>
      </c>
      <c r="D357" s="1051"/>
      <c r="E357" s="1051"/>
      <c r="F357" s="1051"/>
      <c r="G357" s="1043"/>
      <c r="H357" s="1040"/>
      <c r="I357" s="1040"/>
      <c r="J357" s="1040"/>
      <c r="K357" s="1040"/>
      <c r="L357" s="1041"/>
      <c r="M357" s="132">
        <v>300</v>
      </c>
      <c r="N357" s="132">
        <v>2</v>
      </c>
      <c r="O357" s="1048">
        <v>50</v>
      </c>
      <c r="P357" s="1045">
        <f t="shared" si="16"/>
        <v>30000</v>
      </c>
      <c r="Q357" s="1115"/>
      <c r="R357" s="1115"/>
      <c r="S357" s="1050"/>
      <c r="T357" s="1036"/>
      <c r="U357" s="1036"/>
      <c r="V357" s="1036"/>
    </row>
    <row r="358" spans="1:22" s="39" customFormat="1" ht="21.75">
      <c r="A358" s="299"/>
      <c r="B358" s="299"/>
      <c r="C358" s="1147" t="s">
        <v>1371</v>
      </c>
      <c r="D358" s="1043"/>
      <c r="E358" s="1043"/>
      <c r="F358" s="1043"/>
      <c r="G358" s="1043"/>
      <c r="H358" s="1040"/>
      <c r="I358" s="1040"/>
      <c r="J358" s="1040"/>
      <c r="K358" s="1040"/>
      <c r="L358" s="1041"/>
      <c r="M358" s="132">
        <v>1</v>
      </c>
      <c r="N358" s="132">
        <v>7</v>
      </c>
      <c r="O358" s="1048">
        <v>1200</v>
      </c>
      <c r="P358" s="1045">
        <f t="shared" si="16"/>
        <v>8400</v>
      </c>
      <c r="Q358" s="1115"/>
      <c r="R358" s="1115"/>
      <c r="S358" s="1050"/>
      <c r="T358" s="1036"/>
      <c r="U358" s="1036"/>
      <c r="V358" s="1036"/>
    </row>
    <row r="359" spans="1:22" s="39" customFormat="1" ht="21.75">
      <c r="A359" s="299"/>
      <c r="B359" s="299"/>
      <c r="C359" s="1147" t="s">
        <v>1372</v>
      </c>
      <c r="D359" s="1043"/>
      <c r="E359" s="1043"/>
      <c r="F359" s="1043"/>
      <c r="G359" s="1043"/>
      <c r="H359" s="1040"/>
      <c r="I359" s="1040"/>
      <c r="J359" s="1040"/>
      <c r="K359" s="1040"/>
      <c r="L359" s="1041"/>
      <c r="M359" s="132">
        <v>300</v>
      </c>
      <c r="N359" s="132">
        <v>1</v>
      </c>
      <c r="O359" s="1048">
        <v>70</v>
      </c>
      <c r="P359" s="1045">
        <f t="shared" si="16"/>
        <v>21000</v>
      </c>
      <c r="Q359" s="1115"/>
      <c r="R359" s="1115"/>
      <c r="S359" s="1050"/>
      <c r="T359" s="1036"/>
      <c r="U359" s="1036"/>
      <c r="V359" s="1036"/>
    </row>
    <row r="360" spans="1:22" s="39" customFormat="1" ht="21.75">
      <c r="A360" s="299"/>
      <c r="B360" s="299"/>
      <c r="C360" s="239" t="s">
        <v>1373</v>
      </c>
      <c r="D360" s="1043"/>
      <c r="E360" s="1043"/>
      <c r="F360" s="1043"/>
      <c r="G360" s="1043"/>
      <c r="H360" s="1040"/>
      <c r="I360" s="1040"/>
      <c r="J360" s="1040"/>
      <c r="K360" s="1040"/>
      <c r="L360" s="1041"/>
      <c r="M360" s="132">
        <v>5</v>
      </c>
      <c r="N360" s="132">
        <v>1</v>
      </c>
      <c r="O360" s="1048">
        <v>300</v>
      </c>
      <c r="P360" s="1045">
        <f t="shared" si="16"/>
        <v>1500</v>
      </c>
      <c r="Q360" s="1115"/>
      <c r="R360" s="1115"/>
      <c r="S360" s="1050"/>
      <c r="T360" s="1036"/>
      <c r="U360" s="1036"/>
      <c r="V360" s="1036"/>
    </row>
    <row r="361" spans="1:22" s="39" customFormat="1" ht="21.75">
      <c r="A361" s="299"/>
      <c r="B361" s="299"/>
      <c r="C361" s="1147" t="s">
        <v>1366</v>
      </c>
      <c r="D361" s="1043"/>
      <c r="E361" s="1043"/>
      <c r="F361" s="1043"/>
      <c r="G361" s="1043"/>
      <c r="H361" s="1040"/>
      <c r="I361" s="1040"/>
      <c r="J361" s="1040"/>
      <c r="K361" s="1040"/>
      <c r="L361" s="1041"/>
      <c r="M361" s="132"/>
      <c r="N361" s="132"/>
      <c r="O361" s="1047" t="s">
        <v>159</v>
      </c>
      <c r="P361" s="1045">
        <f>5000</f>
        <v>5000</v>
      </c>
      <c r="Q361" s="1115"/>
      <c r="R361" s="1115"/>
      <c r="S361" s="1050"/>
      <c r="T361" s="1036"/>
      <c r="U361" s="1036"/>
      <c r="V361" s="1036"/>
    </row>
    <row r="362" spans="1:22" s="39" customFormat="1" ht="21.75">
      <c r="A362" s="299"/>
      <c r="B362" s="299"/>
      <c r="C362" s="1145" t="s">
        <v>1374</v>
      </c>
      <c r="D362" s="1043"/>
      <c r="E362" s="1043"/>
      <c r="F362" s="1043"/>
      <c r="G362" s="1043"/>
      <c r="H362" s="1040"/>
      <c r="I362" s="1040"/>
      <c r="J362" s="1040"/>
      <c r="K362" s="1040"/>
      <c r="L362" s="1041"/>
      <c r="M362" s="1041"/>
      <c r="N362" s="1041"/>
      <c r="O362" s="1042"/>
      <c r="P362" s="1035">
        <f>SUM(P363:P366)</f>
        <v>189500</v>
      </c>
      <c r="Q362" s="1115"/>
      <c r="R362" s="1115"/>
      <c r="S362" s="1050"/>
      <c r="T362" s="1036"/>
      <c r="U362" s="1036"/>
      <c r="V362" s="1036"/>
    </row>
    <row r="363" spans="1:22" s="39" customFormat="1" ht="21.75">
      <c r="A363" s="299"/>
      <c r="B363" s="299"/>
      <c r="C363" s="239" t="s">
        <v>1375</v>
      </c>
      <c r="D363" s="1043"/>
      <c r="E363" s="1043"/>
      <c r="F363" s="1043"/>
      <c r="G363" s="1043"/>
      <c r="H363" s="1040"/>
      <c r="I363" s="1040"/>
      <c r="J363" s="1040"/>
      <c r="K363" s="1040"/>
      <c r="L363" s="1041"/>
      <c r="M363" s="1052">
        <v>500</v>
      </c>
      <c r="N363" s="1052">
        <v>1</v>
      </c>
      <c r="O363" s="1046">
        <v>250</v>
      </c>
      <c r="P363" s="1045">
        <f>M363*N363*O363</f>
        <v>125000</v>
      </c>
      <c r="Q363" s="1115"/>
      <c r="R363" s="1115"/>
      <c r="S363" s="1050"/>
      <c r="T363" s="1036"/>
      <c r="U363" s="1036"/>
      <c r="V363" s="1036"/>
    </row>
    <row r="364" spans="1:22" s="39" customFormat="1" ht="21.75">
      <c r="A364" s="299"/>
      <c r="B364" s="299"/>
      <c r="C364" s="1147" t="s">
        <v>1376</v>
      </c>
      <c r="D364" s="1043"/>
      <c r="E364" s="1043"/>
      <c r="F364" s="1043"/>
      <c r="G364" s="1043"/>
      <c r="H364" s="1040"/>
      <c r="I364" s="1040"/>
      <c r="J364" s="1040"/>
      <c r="K364" s="1040"/>
      <c r="L364" s="1041"/>
      <c r="M364" s="1052">
        <v>100</v>
      </c>
      <c r="N364" s="1052">
        <v>1</v>
      </c>
      <c r="O364" s="1046">
        <v>500</v>
      </c>
      <c r="P364" s="1045">
        <f>M364*N364*O364</f>
        <v>50000</v>
      </c>
      <c r="Q364" s="1115"/>
      <c r="R364" s="1115"/>
      <c r="S364" s="1050"/>
      <c r="T364" s="1036"/>
      <c r="U364" s="1036"/>
      <c r="V364" s="1036"/>
    </row>
    <row r="365" spans="1:22" s="39" customFormat="1" ht="21.75">
      <c r="A365" s="299"/>
      <c r="B365" s="299"/>
      <c r="C365" s="1147" t="s">
        <v>1377</v>
      </c>
      <c r="D365" s="1043"/>
      <c r="E365" s="1043"/>
      <c r="F365" s="1043"/>
      <c r="G365" s="1043"/>
      <c r="H365" s="1040"/>
      <c r="I365" s="1040"/>
      <c r="J365" s="1040"/>
      <c r="K365" s="1040"/>
      <c r="L365" s="1041"/>
      <c r="M365" s="1052">
        <v>200</v>
      </c>
      <c r="N365" s="1052">
        <v>1</v>
      </c>
      <c r="O365" s="1046">
        <v>20</v>
      </c>
      <c r="P365" s="1045">
        <f>M365*N365*O365</f>
        <v>4000</v>
      </c>
      <c r="Q365" s="1115"/>
      <c r="R365" s="1115"/>
      <c r="S365" s="1050"/>
      <c r="T365" s="1036"/>
      <c r="U365" s="1036"/>
      <c r="V365" s="1036"/>
    </row>
    <row r="366" spans="1:22" s="39" customFormat="1" ht="21.75">
      <c r="A366" s="299"/>
      <c r="B366" s="299"/>
      <c r="C366" s="1147" t="s">
        <v>1378</v>
      </c>
      <c r="D366" s="1043"/>
      <c r="E366" s="1043"/>
      <c r="F366" s="1043"/>
      <c r="G366" s="1043"/>
      <c r="H366" s="1040"/>
      <c r="I366" s="1040"/>
      <c r="J366" s="1040"/>
      <c r="K366" s="1040"/>
      <c r="L366" s="1041"/>
      <c r="M366" s="1052">
        <v>5</v>
      </c>
      <c r="N366" s="1052">
        <v>1</v>
      </c>
      <c r="O366" s="1046">
        <v>2100</v>
      </c>
      <c r="P366" s="1045">
        <f>M366*N366*O366</f>
        <v>10500</v>
      </c>
      <c r="Q366" s="1115"/>
      <c r="R366" s="1115"/>
      <c r="S366" s="1050"/>
      <c r="T366" s="1036"/>
      <c r="U366" s="1036"/>
      <c r="V366" s="1036"/>
    </row>
    <row r="367" spans="1:22" s="39" customFormat="1" ht="21.75">
      <c r="A367" s="299"/>
      <c r="B367" s="299"/>
      <c r="C367" s="1148" t="s">
        <v>1379</v>
      </c>
      <c r="D367" s="1043"/>
      <c r="E367" s="1043"/>
      <c r="F367" s="1043"/>
      <c r="G367" s="1043"/>
      <c r="H367" s="1040"/>
      <c r="I367" s="1040"/>
      <c r="J367" s="1040"/>
      <c r="K367" s="1040"/>
      <c r="L367" s="1041"/>
      <c r="M367" s="1052"/>
      <c r="N367" s="1052"/>
      <c r="O367" s="1049"/>
      <c r="P367" s="1045">
        <f>SUM(P368:P372)</f>
        <v>10000</v>
      </c>
      <c r="Q367" s="1115"/>
      <c r="R367" s="1115"/>
      <c r="S367" s="1050"/>
      <c r="T367" s="1036"/>
      <c r="U367" s="1036"/>
      <c r="V367" s="1036"/>
    </row>
    <row r="368" spans="1:22" s="39" customFormat="1" ht="21.75">
      <c r="A368" s="344"/>
      <c r="B368" s="344"/>
      <c r="C368" s="239" t="s">
        <v>1380</v>
      </c>
      <c r="D368" s="1043"/>
      <c r="E368" s="1043"/>
      <c r="F368" s="1043"/>
      <c r="G368" s="1043"/>
      <c r="H368" s="1040"/>
      <c r="I368" s="1040"/>
      <c r="J368" s="1040"/>
      <c r="K368" s="1040"/>
      <c r="L368" s="1041"/>
      <c r="M368" s="1053"/>
      <c r="N368" s="1053"/>
      <c r="O368" s="1048">
        <v>500</v>
      </c>
      <c r="P368" s="1054">
        <f>500</f>
        <v>500</v>
      </c>
      <c r="Q368" s="1115"/>
      <c r="R368" s="1115"/>
      <c r="S368" s="1050"/>
      <c r="T368" s="1036"/>
      <c r="U368" s="1036"/>
      <c r="V368" s="1036"/>
    </row>
    <row r="369" spans="1:22" s="39" customFormat="1" ht="21.75">
      <c r="A369" s="299"/>
      <c r="B369" s="299"/>
      <c r="C369" s="239" t="s">
        <v>1381</v>
      </c>
      <c r="D369" s="1043"/>
      <c r="E369" s="1043"/>
      <c r="F369" s="1043"/>
      <c r="G369" s="1043"/>
      <c r="H369" s="1040"/>
      <c r="I369" s="1040"/>
      <c r="J369" s="1040"/>
      <c r="K369" s="1040"/>
      <c r="L369" s="1041"/>
      <c r="M369" s="1053"/>
      <c r="N369" s="1053"/>
      <c r="O369" s="1048">
        <v>2000</v>
      </c>
      <c r="P369" s="1054">
        <f>2000</f>
        <v>2000</v>
      </c>
      <c r="Q369" s="1115"/>
      <c r="R369" s="1115"/>
      <c r="S369" s="1050"/>
      <c r="T369" s="1036"/>
      <c r="U369" s="1036"/>
      <c r="V369" s="1036"/>
    </row>
    <row r="370" spans="1:22" s="39" customFormat="1" ht="21.75">
      <c r="A370" s="299"/>
      <c r="B370" s="299"/>
      <c r="C370" s="239" t="s">
        <v>1382</v>
      </c>
      <c r="D370" s="1043"/>
      <c r="E370" s="1043"/>
      <c r="F370" s="1043"/>
      <c r="G370" s="1043"/>
      <c r="H370" s="1040"/>
      <c r="I370" s="1040"/>
      <c r="J370" s="1040"/>
      <c r="K370" s="1040"/>
      <c r="L370" s="1041"/>
      <c r="M370" s="1053"/>
      <c r="N370" s="1053"/>
      <c r="O370" s="1048">
        <v>2500</v>
      </c>
      <c r="P370" s="1054">
        <f>2500</f>
        <v>2500</v>
      </c>
      <c r="Q370" s="1115"/>
      <c r="R370" s="1115"/>
      <c r="S370" s="1050"/>
      <c r="T370" s="1036"/>
      <c r="U370" s="1036"/>
      <c r="V370" s="1036"/>
    </row>
    <row r="371" spans="1:22" s="39" customFormat="1" ht="21.75">
      <c r="A371" s="299"/>
      <c r="B371" s="299"/>
      <c r="C371" s="239" t="s">
        <v>1383</v>
      </c>
      <c r="D371" s="1043"/>
      <c r="E371" s="1043"/>
      <c r="F371" s="1043"/>
      <c r="G371" s="1043"/>
      <c r="H371" s="1040"/>
      <c r="I371" s="1040"/>
      <c r="J371" s="1040"/>
      <c r="K371" s="1040"/>
      <c r="L371" s="1041"/>
      <c r="M371" s="1053"/>
      <c r="N371" s="1053"/>
      <c r="O371" s="1048">
        <v>3000</v>
      </c>
      <c r="P371" s="1054">
        <f>3000</f>
        <v>3000</v>
      </c>
      <c r="Q371" s="1115"/>
      <c r="R371" s="1115"/>
      <c r="S371" s="1050"/>
      <c r="T371" s="1036"/>
      <c r="U371" s="1036"/>
      <c r="V371" s="1036"/>
    </row>
    <row r="372" spans="1:22" s="39" customFormat="1" ht="21.75">
      <c r="A372" s="299"/>
      <c r="B372" s="299"/>
      <c r="C372" s="239" t="s">
        <v>1384</v>
      </c>
      <c r="D372" s="1043"/>
      <c r="E372" s="1043"/>
      <c r="F372" s="1043"/>
      <c r="G372" s="1043"/>
      <c r="H372" s="1040"/>
      <c r="I372" s="1040"/>
      <c r="J372" s="1040"/>
      <c r="K372" s="1040"/>
      <c r="L372" s="1041"/>
      <c r="M372" s="1053"/>
      <c r="N372" s="1053"/>
      <c r="O372" s="1048">
        <v>2000</v>
      </c>
      <c r="P372" s="1054">
        <f>2000</f>
        <v>2000</v>
      </c>
      <c r="Q372" s="1115"/>
      <c r="R372" s="1115"/>
      <c r="S372" s="1050"/>
      <c r="T372" s="1036"/>
      <c r="U372" s="1036"/>
      <c r="V372" s="1036"/>
    </row>
    <row r="373" spans="1:22" s="39" customFormat="1" ht="21.75">
      <c r="A373" s="299"/>
      <c r="B373" s="299"/>
      <c r="C373" s="1149" t="s">
        <v>1385</v>
      </c>
      <c r="D373" s="118"/>
      <c r="E373" s="118"/>
      <c r="F373" s="118"/>
      <c r="G373" s="118"/>
      <c r="H373" s="1055"/>
      <c r="I373" s="1055"/>
      <c r="J373" s="1055"/>
      <c r="K373" s="1055"/>
      <c r="L373" s="1055"/>
      <c r="M373" s="1055"/>
      <c r="N373" s="1055"/>
      <c r="O373" s="1056"/>
      <c r="P373" s="1057"/>
      <c r="Q373" s="1115"/>
      <c r="R373" s="1115"/>
      <c r="S373" s="1050"/>
      <c r="T373" s="1036"/>
      <c r="U373" s="1036"/>
      <c r="V373" s="1036"/>
    </row>
    <row r="374" spans="1:22" s="39" customFormat="1" ht="21.75">
      <c r="A374" s="299"/>
      <c r="B374" s="299"/>
      <c r="C374" s="1144" t="s">
        <v>1283</v>
      </c>
      <c r="D374" s="1043"/>
      <c r="E374" s="1043"/>
      <c r="F374" s="1043"/>
      <c r="G374" s="1043"/>
      <c r="H374" s="1041"/>
      <c r="I374" s="1041"/>
      <c r="J374" s="1041"/>
      <c r="K374" s="1041"/>
      <c r="L374" s="1041"/>
      <c r="M374" s="1041"/>
      <c r="N374" s="1041"/>
      <c r="O374" s="1058"/>
      <c r="P374" s="1035">
        <f>SUM(P375:P379)</f>
        <v>1018400</v>
      </c>
      <c r="Q374" s="1115"/>
      <c r="R374" s="1115"/>
      <c r="S374" s="1050"/>
      <c r="T374" s="1036"/>
      <c r="U374" s="1036"/>
      <c r="V374" s="1036"/>
    </row>
    <row r="375" spans="1:22" s="39" customFormat="1" ht="21.75">
      <c r="A375" s="299"/>
      <c r="B375" s="299"/>
      <c r="C375" s="239" t="s">
        <v>1386</v>
      </c>
      <c r="D375" s="1043"/>
      <c r="E375" s="1043"/>
      <c r="F375" s="1043"/>
      <c r="G375" s="1043"/>
      <c r="H375" s="1041"/>
      <c r="I375" s="1041"/>
      <c r="J375" s="1041"/>
      <c r="K375" s="1041"/>
      <c r="L375" s="1041"/>
      <c r="M375" s="1047">
        <v>1000</v>
      </c>
      <c r="N375" s="1052">
        <v>1</v>
      </c>
      <c r="O375" s="1044">
        <v>500</v>
      </c>
      <c r="P375" s="1045">
        <f>M375*N375*O375</f>
        <v>500000</v>
      </c>
      <c r="Q375" s="1115"/>
      <c r="R375" s="1115"/>
      <c r="S375" s="1050"/>
      <c r="T375" s="1036"/>
      <c r="U375" s="1036"/>
      <c r="V375" s="1036"/>
    </row>
    <row r="376" spans="1:22" s="39" customFormat="1" ht="21.75" customHeight="1">
      <c r="A376" s="299"/>
      <c r="B376" s="299"/>
      <c r="C376" s="239" t="s">
        <v>1387</v>
      </c>
      <c r="D376" s="1043"/>
      <c r="E376" s="1043"/>
      <c r="F376" s="1043"/>
      <c r="G376" s="1043"/>
      <c r="H376" s="1041"/>
      <c r="I376" s="1041"/>
      <c r="J376" s="1041"/>
      <c r="K376" s="1041"/>
      <c r="L376" s="1041"/>
      <c r="M376" s="1052"/>
      <c r="N376" s="1052"/>
      <c r="O376" s="1044">
        <f>2000*170</f>
        <v>340000</v>
      </c>
      <c r="P376" s="1045">
        <f>O376</f>
        <v>340000</v>
      </c>
      <c r="Q376" s="1115"/>
      <c r="R376" s="1115"/>
      <c r="S376" s="1050"/>
      <c r="T376" s="1036"/>
      <c r="U376" s="1036"/>
      <c r="V376" s="1036"/>
    </row>
    <row r="377" spans="1:22" s="39" customFormat="1" ht="21.75">
      <c r="A377" s="299"/>
      <c r="B377" s="299"/>
      <c r="C377" s="1147" t="s">
        <v>1388</v>
      </c>
      <c r="D377" s="1043"/>
      <c r="E377" s="1043"/>
      <c r="F377" s="1043"/>
      <c r="G377" s="1043"/>
      <c r="H377" s="1041"/>
      <c r="I377" s="1041"/>
      <c r="J377" s="1041"/>
      <c r="K377" s="1041"/>
      <c r="L377" s="1041"/>
      <c r="M377" s="1047">
        <v>1000</v>
      </c>
      <c r="N377" s="1052">
        <v>2</v>
      </c>
      <c r="O377" s="1059">
        <v>50</v>
      </c>
      <c r="P377" s="1045">
        <f>M377*N377*O377</f>
        <v>100000</v>
      </c>
      <c r="Q377" s="1115"/>
      <c r="R377" s="1115"/>
      <c r="S377" s="1050"/>
      <c r="T377" s="1036"/>
      <c r="U377" s="1036"/>
      <c r="V377" s="1036"/>
    </row>
    <row r="378" spans="1:22" s="39" customFormat="1" ht="21.75">
      <c r="A378" s="299"/>
      <c r="B378" s="299"/>
      <c r="C378" s="1147" t="s">
        <v>1371</v>
      </c>
      <c r="D378" s="1043"/>
      <c r="E378" s="1043"/>
      <c r="F378" s="1043"/>
      <c r="G378" s="1043"/>
      <c r="H378" s="1041"/>
      <c r="I378" s="1041"/>
      <c r="J378" s="1041"/>
      <c r="K378" s="1041"/>
      <c r="L378" s="1041"/>
      <c r="M378" s="1052">
        <v>1</v>
      </c>
      <c r="N378" s="1052">
        <v>7</v>
      </c>
      <c r="O378" s="1059">
        <v>1200</v>
      </c>
      <c r="P378" s="1045">
        <f>M378*N378*O378</f>
        <v>8400</v>
      </c>
      <c r="Q378" s="1115"/>
      <c r="R378" s="1115"/>
      <c r="S378" s="1050"/>
      <c r="T378" s="1036"/>
      <c r="U378" s="1036"/>
      <c r="V378" s="1036"/>
    </row>
    <row r="379" spans="1:22" s="39" customFormat="1" ht="21.75">
      <c r="A379" s="299"/>
      <c r="B379" s="299"/>
      <c r="C379" s="1147" t="s">
        <v>1372</v>
      </c>
      <c r="D379" s="1043"/>
      <c r="E379" s="1043"/>
      <c r="F379" s="1043"/>
      <c r="G379" s="1043"/>
      <c r="H379" s="1041"/>
      <c r="I379" s="1041"/>
      <c r="J379" s="1041"/>
      <c r="K379" s="1041"/>
      <c r="L379" s="1041"/>
      <c r="M379" s="1047">
        <v>1000</v>
      </c>
      <c r="N379" s="1052">
        <v>1</v>
      </c>
      <c r="O379" s="1059">
        <v>70</v>
      </c>
      <c r="P379" s="1045">
        <f>M379*N379*O379</f>
        <v>70000</v>
      </c>
      <c r="Q379" s="1115"/>
      <c r="R379" s="1115"/>
      <c r="S379" s="1050"/>
      <c r="T379" s="1036"/>
      <c r="U379" s="1036"/>
      <c r="V379" s="1036"/>
    </row>
    <row r="380" spans="1:22" s="39" customFormat="1" ht="21.75">
      <c r="A380" s="299"/>
      <c r="B380" s="299"/>
      <c r="C380" s="1150" t="s">
        <v>1319</v>
      </c>
      <c r="D380" s="118"/>
      <c r="E380" s="118"/>
      <c r="F380" s="118"/>
      <c r="G380" s="118"/>
      <c r="H380" s="1055"/>
      <c r="I380" s="1055"/>
      <c r="J380" s="1055"/>
      <c r="K380" s="1055"/>
      <c r="L380" s="1055"/>
      <c r="M380" s="1055"/>
      <c r="N380" s="1055"/>
      <c r="O380" s="1056"/>
      <c r="P380" s="1057"/>
      <c r="Q380" s="1115"/>
      <c r="R380" s="1115"/>
      <c r="S380" s="1050"/>
      <c r="T380" s="1036"/>
      <c r="U380" s="1036"/>
      <c r="V380" s="1036"/>
    </row>
    <row r="381" spans="1:22" s="39" customFormat="1" ht="21.75">
      <c r="A381" s="299"/>
      <c r="B381" s="299"/>
      <c r="C381" s="1144" t="s">
        <v>1284</v>
      </c>
      <c r="D381" s="1043"/>
      <c r="E381" s="1043"/>
      <c r="F381" s="1043"/>
      <c r="G381" s="1043"/>
      <c r="H381" s="1041"/>
      <c r="I381" s="1041"/>
      <c r="J381" s="1041"/>
      <c r="K381" s="1041"/>
      <c r="L381" s="1041"/>
      <c r="M381" s="1041"/>
      <c r="N381" s="1041"/>
      <c r="O381" s="1058"/>
      <c r="P381" s="1035">
        <f>SUM(P382:P386)</f>
        <v>513400</v>
      </c>
      <c r="Q381" s="1115"/>
      <c r="R381" s="1115"/>
      <c r="S381" s="1050"/>
      <c r="T381" s="1036"/>
      <c r="U381" s="1036"/>
      <c r="V381" s="1036"/>
    </row>
    <row r="382" spans="1:22" s="39" customFormat="1" ht="21.75">
      <c r="A382" s="299"/>
      <c r="B382" s="299"/>
      <c r="C382" s="239" t="s">
        <v>1391</v>
      </c>
      <c r="D382" s="1043"/>
      <c r="E382" s="1043"/>
      <c r="F382" s="1043"/>
      <c r="G382" s="1043"/>
      <c r="H382" s="1041"/>
      <c r="I382" s="1041"/>
      <c r="J382" s="1041"/>
      <c r="K382" s="1041"/>
      <c r="L382" s="1041"/>
      <c r="M382" s="1052">
        <v>500</v>
      </c>
      <c r="N382" s="1052">
        <v>1</v>
      </c>
      <c r="O382" s="1044">
        <v>500</v>
      </c>
      <c r="P382" s="1045">
        <f>M382*N382*O382</f>
        <v>250000</v>
      </c>
      <c r="Q382" s="1115"/>
      <c r="R382" s="1115"/>
      <c r="S382" s="1050"/>
      <c r="T382" s="1036"/>
      <c r="U382" s="1036"/>
      <c r="V382" s="1036"/>
    </row>
    <row r="383" spans="1:22" s="39" customFormat="1" ht="19.5" customHeight="1">
      <c r="A383" s="299"/>
      <c r="B383" s="299"/>
      <c r="C383" s="239" t="s">
        <v>1392</v>
      </c>
      <c r="D383" s="1043"/>
      <c r="E383" s="1043"/>
      <c r="F383" s="1043"/>
      <c r="G383" s="1043"/>
      <c r="H383" s="1041"/>
      <c r="I383" s="1041"/>
      <c r="J383" s="1041"/>
      <c r="K383" s="1041"/>
      <c r="L383" s="1041"/>
      <c r="M383" s="1052"/>
      <c r="N383" s="1052"/>
      <c r="O383" s="1044">
        <f>1000*170</f>
        <v>170000</v>
      </c>
      <c r="P383" s="1045">
        <f>O383</f>
        <v>170000</v>
      </c>
      <c r="Q383" s="1115"/>
      <c r="R383" s="1115"/>
      <c r="S383" s="1050"/>
      <c r="T383" s="1036"/>
      <c r="U383" s="1036"/>
      <c r="V383" s="1036"/>
    </row>
    <row r="384" spans="1:22" s="39" customFormat="1" ht="21.75">
      <c r="A384" s="299"/>
      <c r="B384" s="299"/>
      <c r="C384" s="1147" t="s">
        <v>1393</v>
      </c>
      <c r="D384" s="1043"/>
      <c r="E384" s="1043"/>
      <c r="F384" s="1043"/>
      <c r="G384" s="1043"/>
      <c r="H384" s="1041"/>
      <c r="I384" s="1041"/>
      <c r="J384" s="1041"/>
      <c r="K384" s="1041"/>
      <c r="L384" s="1041"/>
      <c r="M384" s="1052">
        <v>500</v>
      </c>
      <c r="N384" s="1052">
        <v>2</v>
      </c>
      <c r="O384" s="1059">
        <v>50</v>
      </c>
      <c r="P384" s="1045">
        <f>M384*N384*O384</f>
        <v>50000</v>
      </c>
      <c r="Q384" s="1115"/>
      <c r="R384" s="1115"/>
      <c r="S384" s="1050"/>
      <c r="T384" s="1036"/>
      <c r="U384" s="1036"/>
      <c r="V384" s="1036"/>
    </row>
    <row r="385" spans="1:22" s="39" customFormat="1" ht="21.75">
      <c r="A385" s="299"/>
      <c r="B385" s="299"/>
      <c r="C385" s="1147" t="s">
        <v>1371</v>
      </c>
      <c r="D385" s="1043"/>
      <c r="E385" s="1043"/>
      <c r="F385" s="1043"/>
      <c r="G385" s="1043"/>
      <c r="H385" s="1041"/>
      <c r="I385" s="1041"/>
      <c r="J385" s="1041"/>
      <c r="K385" s="1041"/>
      <c r="L385" s="1041"/>
      <c r="M385" s="1052">
        <v>1</v>
      </c>
      <c r="N385" s="1052">
        <v>7</v>
      </c>
      <c r="O385" s="1059">
        <v>1200</v>
      </c>
      <c r="P385" s="1045">
        <f>M385*N385*O385</f>
        <v>8400</v>
      </c>
      <c r="Q385" s="1115"/>
      <c r="R385" s="1115"/>
      <c r="S385" s="1050"/>
      <c r="T385" s="1036"/>
      <c r="U385" s="1036"/>
      <c r="V385" s="1036"/>
    </row>
    <row r="386" spans="1:22" s="39" customFormat="1" ht="21.75">
      <c r="A386" s="299"/>
      <c r="B386" s="299"/>
      <c r="C386" s="1147" t="s">
        <v>1372</v>
      </c>
      <c r="D386" s="1043"/>
      <c r="E386" s="1043"/>
      <c r="F386" s="1043"/>
      <c r="G386" s="1043"/>
      <c r="H386" s="1041"/>
      <c r="I386" s="1041"/>
      <c r="J386" s="1041"/>
      <c r="K386" s="1041"/>
      <c r="L386" s="1041"/>
      <c r="M386" s="1052">
        <v>500</v>
      </c>
      <c r="N386" s="1052">
        <v>1</v>
      </c>
      <c r="O386" s="1059">
        <v>70</v>
      </c>
      <c r="P386" s="1045">
        <f>M386*N386*O386</f>
        <v>35000</v>
      </c>
      <c r="Q386" s="1115"/>
      <c r="R386" s="1115"/>
      <c r="S386" s="1050"/>
      <c r="T386" s="1036"/>
      <c r="U386" s="1036"/>
      <c r="V386" s="1036"/>
    </row>
    <row r="387" spans="1:22" s="39" customFormat="1" ht="21.75">
      <c r="A387" s="299"/>
      <c r="B387" s="299"/>
      <c r="C387" s="1150" t="s">
        <v>1390</v>
      </c>
      <c r="D387" s="118"/>
      <c r="E387" s="118"/>
      <c r="F387" s="118"/>
      <c r="G387" s="118"/>
      <c r="H387" s="1055"/>
      <c r="I387" s="1055"/>
      <c r="J387" s="1055"/>
      <c r="K387" s="1055"/>
      <c r="L387" s="1055"/>
      <c r="M387" s="1055"/>
      <c r="N387" s="1055"/>
      <c r="O387" s="1056"/>
      <c r="P387" s="1057"/>
      <c r="Q387" s="1115"/>
      <c r="R387" s="1115"/>
      <c r="S387" s="1050"/>
      <c r="T387" s="1036"/>
      <c r="U387" s="1036"/>
      <c r="V387" s="1036"/>
    </row>
    <row r="388" spans="1:22" s="39" customFormat="1" ht="21.75">
      <c r="A388" s="299"/>
      <c r="B388" s="299"/>
      <c r="C388" s="1144" t="s">
        <v>1389</v>
      </c>
      <c r="D388" s="1043"/>
      <c r="E388" s="1043"/>
      <c r="F388" s="1043"/>
      <c r="G388" s="1043"/>
      <c r="H388" s="1041"/>
      <c r="I388" s="1041"/>
      <c r="J388" s="1041"/>
      <c r="K388" s="1041"/>
      <c r="L388" s="1041"/>
      <c r="M388" s="1041"/>
      <c r="N388" s="1041"/>
      <c r="O388" s="1058"/>
      <c r="P388" s="1035">
        <f>SUM(P389:P393)</f>
        <v>1018400</v>
      </c>
      <c r="Q388" s="1115"/>
      <c r="R388" s="1115"/>
      <c r="S388" s="1065"/>
      <c r="T388" s="1036"/>
      <c r="U388" s="1036"/>
      <c r="V388" s="1036"/>
    </row>
    <row r="389" spans="1:22" s="39" customFormat="1" ht="21.75">
      <c r="A389" s="299"/>
      <c r="B389" s="299"/>
      <c r="C389" s="239" t="s">
        <v>1394</v>
      </c>
      <c r="D389" s="1043"/>
      <c r="E389" s="1043"/>
      <c r="F389" s="1043"/>
      <c r="G389" s="1043"/>
      <c r="H389" s="1041"/>
      <c r="I389" s="1041"/>
      <c r="J389" s="1041"/>
      <c r="K389" s="1041"/>
      <c r="L389" s="1041"/>
      <c r="M389" s="1047">
        <v>1000</v>
      </c>
      <c r="N389" s="1052">
        <v>1</v>
      </c>
      <c r="O389" s="1046">
        <v>500</v>
      </c>
      <c r="P389" s="1045">
        <f>M389*N389*O389</f>
        <v>500000</v>
      </c>
      <c r="Q389" s="1115"/>
      <c r="R389" s="1115"/>
      <c r="S389" s="387"/>
      <c r="T389" s="1036"/>
      <c r="U389" s="1036"/>
      <c r="V389" s="1036"/>
    </row>
    <row r="390" spans="1:22" s="39" customFormat="1" ht="21" customHeight="1">
      <c r="A390" s="299"/>
      <c r="B390" s="299"/>
      <c r="C390" s="239" t="s">
        <v>1387</v>
      </c>
      <c r="D390" s="1043"/>
      <c r="E390" s="1043"/>
      <c r="F390" s="1043"/>
      <c r="G390" s="1043"/>
      <c r="H390" s="1041"/>
      <c r="I390" s="1041"/>
      <c r="J390" s="1041"/>
      <c r="K390" s="1041"/>
      <c r="L390" s="1041"/>
      <c r="M390" s="1052"/>
      <c r="N390" s="1052"/>
      <c r="O390" s="1046">
        <f>2000*170</f>
        <v>340000</v>
      </c>
      <c r="P390" s="1045">
        <f>O390</f>
        <v>340000</v>
      </c>
      <c r="Q390" s="1115"/>
      <c r="R390" s="1115"/>
      <c r="S390" s="1016"/>
      <c r="T390" s="1036"/>
      <c r="U390" s="1036"/>
      <c r="V390" s="1036"/>
    </row>
    <row r="391" spans="1:22" s="39" customFormat="1" ht="21.75">
      <c r="A391" s="344"/>
      <c r="B391" s="344"/>
      <c r="C391" s="1147" t="s">
        <v>1388</v>
      </c>
      <c r="D391" s="1043"/>
      <c r="E391" s="1043"/>
      <c r="F391" s="1043"/>
      <c r="G391" s="1043"/>
      <c r="H391" s="1041"/>
      <c r="I391" s="1041"/>
      <c r="J391" s="1041"/>
      <c r="K391" s="1041"/>
      <c r="L391" s="1041"/>
      <c r="M391" s="1047">
        <v>1000</v>
      </c>
      <c r="N391" s="1052">
        <v>2</v>
      </c>
      <c r="O391" s="1048">
        <v>50</v>
      </c>
      <c r="P391" s="1045">
        <f>M391*N391*O391</f>
        <v>100000</v>
      </c>
      <c r="Q391" s="1115"/>
      <c r="R391" s="1115"/>
      <c r="S391" s="1016"/>
      <c r="T391" s="1036"/>
      <c r="U391" s="1036"/>
      <c r="V391" s="1036"/>
    </row>
    <row r="392" spans="1:22" s="39" customFormat="1" ht="21.75">
      <c r="A392" s="299"/>
      <c r="B392" s="299"/>
      <c r="C392" s="1147" t="s">
        <v>1371</v>
      </c>
      <c r="D392" s="1043"/>
      <c r="E392" s="1043"/>
      <c r="F392" s="1043"/>
      <c r="G392" s="1043"/>
      <c r="H392" s="1041"/>
      <c r="I392" s="1041"/>
      <c r="J392" s="1041"/>
      <c r="K392" s="1041"/>
      <c r="L392" s="1041"/>
      <c r="M392" s="1052">
        <v>1</v>
      </c>
      <c r="N392" s="1052">
        <v>7</v>
      </c>
      <c r="O392" s="1048">
        <v>1200</v>
      </c>
      <c r="P392" s="1045">
        <f>M392*N392*O392</f>
        <v>8400</v>
      </c>
      <c r="Q392" s="1115"/>
      <c r="R392" s="1115"/>
      <c r="S392" s="1016"/>
      <c r="T392" s="1036"/>
      <c r="U392" s="1036"/>
      <c r="V392" s="1036"/>
    </row>
    <row r="393" spans="1:22" s="39" customFormat="1" ht="21.75">
      <c r="A393" s="299"/>
      <c r="B393" s="299"/>
      <c r="C393" s="1147" t="s">
        <v>1372</v>
      </c>
      <c r="D393" s="1043"/>
      <c r="E393" s="1043"/>
      <c r="F393" s="1043"/>
      <c r="G393" s="1043"/>
      <c r="H393" s="1041"/>
      <c r="I393" s="1041"/>
      <c r="J393" s="1041"/>
      <c r="K393" s="1041"/>
      <c r="L393" s="1041"/>
      <c r="M393" s="1047">
        <v>1000</v>
      </c>
      <c r="N393" s="1052">
        <v>1</v>
      </c>
      <c r="O393" s="1048">
        <v>70</v>
      </c>
      <c r="P393" s="1045">
        <f>M393*N393*O393</f>
        <v>70000</v>
      </c>
      <c r="Q393" s="1115"/>
      <c r="R393" s="1115"/>
      <c r="S393" s="1016"/>
      <c r="T393" s="1036"/>
      <c r="U393" s="1036"/>
      <c r="V393" s="1036"/>
    </row>
    <row r="394" spans="1:22" s="39" customFormat="1" ht="21.75">
      <c r="A394" s="299"/>
      <c r="B394" s="299"/>
      <c r="C394" s="1151" t="s">
        <v>1395</v>
      </c>
      <c r="D394" s="1082"/>
      <c r="E394" s="1082"/>
      <c r="F394" s="1082"/>
      <c r="G394" s="1043"/>
      <c r="H394" s="1060"/>
      <c r="I394" s="1060"/>
      <c r="J394" s="1060"/>
      <c r="K394" s="1060"/>
      <c r="L394" s="1060"/>
      <c r="M394" s="1061"/>
      <c r="N394" s="1062"/>
      <c r="O394" s="1063"/>
      <c r="P394" s="1064"/>
      <c r="Q394" s="1115"/>
      <c r="R394" s="1115"/>
      <c r="S394" s="1016"/>
      <c r="T394" s="1036"/>
      <c r="U394" s="1036"/>
      <c r="V394" s="1036"/>
    </row>
    <row r="395" spans="1:22" ht="17.25" customHeight="1">
      <c r="A395" s="299"/>
      <c r="B395" s="299"/>
      <c r="C395" s="1133" t="s">
        <v>1315</v>
      </c>
      <c r="D395" s="108"/>
      <c r="E395" s="108"/>
      <c r="F395" s="108"/>
      <c r="G395" s="108"/>
      <c r="H395" s="108"/>
      <c r="I395" s="107"/>
      <c r="J395" s="107"/>
      <c r="K395" s="108"/>
      <c r="L395" s="119"/>
      <c r="M395" s="107"/>
      <c r="N395" s="107"/>
      <c r="O395" s="1066"/>
      <c r="P395" s="109">
        <f>P396+P397+P398+P399+P403+P407+P414+P422+P430+P438+P444</f>
        <v>2428260</v>
      </c>
      <c r="Q395" s="1115"/>
      <c r="R395" s="1115"/>
      <c r="S395" s="1016"/>
    </row>
    <row r="396" spans="1:22" ht="17.25" customHeight="1">
      <c r="A396" s="299"/>
      <c r="B396" s="299"/>
      <c r="C396" s="1142" t="s">
        <v>1396</v>
      </c>
      <c r="D396" s="108"/>
      <c r="E396" s="108"/>
      <c r="F396" s="108"/>
      <c r="G396" s="108"/>
      <c r="H396" s="108"/>
      <c r="I396" s="107"/>
      <c r="J396" s="107"/>
      <c r="K396" s="108"/>
      <c r="L396" s="107"/>
      <c r="M396" s="107"/>
      <c r="N396" s="107"/>
      <c r="O396" s="1032" t="s">
        <v>159</v>
      </c>
      <c r="P396" s="109">
        <v>150000</v>
      </c>
      <c r="Q396" s="1115"/>
      <c r="R396" s="1115"/>
      <c r="S396" s="1016"/>
    </row>
    <row r="397" spans="1:22" ht="17.25" customHeight="1">
      <c r="A397" s="299"/>
      <c r="B397" s="299"/>
      <c r="C397" s="1142" t="s">
        <v>1397</v>
      </c>
      <c r="D397" s="108"/>
      <c r="E397" s="108"/>
      <c r="F397" s="108"/>
      <c r="G397" s="108"/>
      <c r="H397" s="108"/>
      <c r="I397" s="107"/>
      <c r="J397" s="107"/>
      <c r="K397" s="108"/>
      <c r="L397" s="107"/>
      <c r="M397" s="107"/>
      <c r="N397" s="107"/>
      <c r="O397" s="1032" t="s">
        <v>159</v>
      </c>
      <c r="P397" s="109">
        <v>200000</v>
      </c>
      <c r="Q397" s="1115"/>
      <c r="R397" s="1115"/>
      <c r="S397" s="1016"/>
    </row>
    <row r="398" spans="1:22" ht="17.25" customHeight="1">
      <c r="A398" s="299"/>
      <c r="B398" s="299"/>
      <c r="C398" s="1142" t="s">
        <v>1398</v>
      </c>
      <c r="D398" s="108"/>
      <c r="E398" s="108"/>
      <c r="F398" s="108"/>
      <c r="G398" s="108"/>
      <c r="H398" s="108"/>
      <c r="I398" s="107"/>
      <c r="J398" s="107"/>
      <c r="K398" s="108"/>
      <c r="L398" s="107"/>
      <c r="M398" s="107"/>
      <c r="N398" s="107"/>
      <c r="O398" s="1032" t="s">
        <v>159</v>
      </c>
      <c r="P398" s="109">
        <v>200000</v>
      </c>
      <c r="Q398" s="1115"/>
      <c r="R398" s="1115"/>
      <c r="S398" s="1016"/>
    </row>
    <row r="399" spans="1:22" ht="17.25" customHeight="1">
      <c r="A399" s="299"/>
      <c r="B399" s="299"/>
      <c r="C399" s="1142" t="s">
        <v>1399</v>
      </c>
      <c r="D399" s="108"/>
      <c r="E399" s="108"/>
      <c r="F399" s="108"/>
      <c r="G399" s="108"/>
      <c r="H399" s="108"/>
      <c r="I399" s="107"/>
      <c r="J399" s="107"/>
      <c r="K399" s="108"/>
      <c r="L399" s="107"/>
      <c r="M399" s="107"/>
      <c r="N399" s="107"/>
      <c r="O399" s="947"/>
      <c r="P399" s="109">
        <f>SUM(P400:P402)</f>
        <v>305400</v>
      </c>
      <c r="Q399" s="1115"/>
      <c r="R399" s="1115"/>
      <c r="S399" s="1016"/>
    </row>
    <row r="400" spans="1:22" ht="17.25" customHeight="1">
      <c r="A400" s="299"/>
      <c r="B400" s="299"/>
      <c r="C400" s="1123" t="s">
        <v>1285</v>
      </c>
      <c r="D400" s="108"/>
      <c r="E400" s="108"/>
      <c r="F400" s="108"/>
      <c r="G400" s="108"/>
      <c r="H400" s="108"/>
      <c r="I400" s="107"/>
      <c r="J400" s="107"/>
      <c r="K400" s="108"/>
      <c r="L400" s="107"/>
      <c r="M400" s="107"/>
      <c r="N400" s="107"/>
      <c r="O400" s="1032" t="s">
        <v>159</v>
      </c>
      <c r="P400" s="110">
        <v>150000</v>
      </c>
      <c r="Q400" s="1115"/>
      <c r="R400" s="1115"/>
      <c r="S400" s="1016"/>
    </row>
    <row r="401" spans="1:19" ht="17.25" customHeight="1">
      <c r="A401" s="299"/>
      <c r="B401" s="299"/>
      <c r="C401" s="1123" t="s">
        <v>1286</v>
      </c>
      <c r="D401" s="108"/>
      <c r="E401" s="108"/>
      <c r="F401" s="108"/>
      <c r="G401" s="108"/>
      <c r="H401" s="108"/>
      <c r="I401" s="107"/>
      <c r="J401" s="107"/>
      <c r="K401" s="108"/>
      <c r="L401" s="74">
        <v>300</v>
      </c>
      <c r="M401" s="74" t="s">
        <v>20</v>
      </c>
      <c r="N401" s="107"/>
      <c r="O401" s="947">
        <v>350</v>
      </c>
      <c r="P401" s="110">
        <f>O401*L401</f>
        <v>105000</v>
      </c>
      <c r="Q401" s="1115"/>
      <c r="R401" s="1115"/>
      <c r="S401" s="72"/>
    </row>
    <row r="402" spans="1:19" ht="17.25" customHeight="1">
      <c r="A402" s="299"/>
      <c r="B402" s="299"/>
      <c r="C402" s="1123" t="s">
        <v>1287</v>
      </c>
      <c r="D402" s="108"/>
      <c r="E402" s="108"/>
      <c r="F402" s="108"/>
      <c r="G402" s="108"/>
      <c r="H402" s="108"/>
      <c r="I402" s="107"/>
      <c r="J402" s="107"/>
      <c r="K402" s="108"/>
      <c r="L402" s="74">
        <v>300</v>
      </c>
      <c r="M402" s="74" t="s">
        <v>47</v>
      </c>
      <c r="N402" s="107"/>
      <c r="O402" s="947">
        <v>168</v>
      </c>
      <c r="P402" s="110">
        <f>L402*O402</f>
        <v>50400</v>
      </c>
      <c r="Q402" s="1115"/>
      <c r="R402" s="1115"/>
      <c r="S402" s="387"/>
    </row>
    <row r="403" spans="1:19" ht="17.25" customHeight="1">
      <c r="A403" s="299"/>
      <c r="B403" s="299"/>
      <c r="C403" s="1142" t="s">
        <v>1400</v>
      </c>
      <c r="D403" s="108"/>
      <c r="E403" s="108"/>
      <c r="F403" s="108"/>
      <c r="G403" s="108"/>
      <c r="H403" s="108"/>
      <c r="I403" s="107"/>
      <c r="J403" s="107"/>
      <c r="K403" s="108"/>
      <c r="L403" s="107"/>
      <c r="M403" s="107"/>
      <c r="N403" s="107"/>
      <c r="O403" s="947"/>
      <c r="P403" s="109">
        <f>SUM(P404:P406)</f>
        <v>305400</v>
      </c>
      <c r="Q403" s="1115"/>
      <c r="R403" s="1115"/>
      <c r="S403" s="72"/>
    </row>
    <row r="404" spans="1:19" ht="17.25" customHeight="1">
      <c r="A404" s="299"/>
      <c r="B404" s="299"/>
      <c r="C404" s="1123" t="s">
        <v>1288</v>
      </c>
      <c r="D404" s="108"/>
      <c r="E404" s="108"/>
      <c r="F404" s="108"/>
      <c r="G404" s="108"/>
      <c r="H404" s="108"/>
      <c r="I404" s="107"/>
      <c r="J404" s="107"/>
      <c r="K404" s="108"/>
      <c r="L404" s="107"/>
      <c r="M404" s="107"/>
      <c r="N404" s="107"/>
      <c r="O404" s="1032" t="s">
        <v>159</v>
      </c>
      <c r="P404" s="110">
        <v>150000</v>
      </c>
      <c r="Q404" s="1115"/>
      <c r="R404" s="1115"/>
      <c r="S404" s="72"/>
    </row>
    <row r="405" spans="1:19" ht="17.25" customHeight="1">
      <c r="A405" s="299"/>
      <c r="B405" s="299"/>
      <c r="C405" s="1123" t="s">
        <v>1286</v>
      </c>
      <c r="D405" s="108"/>
      <c r="E405" s="108"/>
      <c r="F405" s="108"/>
      <c r="G405" s="108"/>
      <c r="H405" s="108"/>
      <c r="I405" s="107"/>
      <c r="J405" s="107"/>
      <c r="K405" s="108"/>
      <c r="L405" s="74">
        <v>300</v>
      </c>
      <c r="M405" s="74" t="s">
        <v>20</v>
      </c>
      <c r="N405" s="107"/>
      <c r="O405" s="947">
        <v>350</v>
      </c>
      <c r="P405" s="110">
        <f>O405*L405</f>
        <v>105000</v>
      </c>
      <c r="Q405" s="1115"/>
      <c r="R405" s="1115"/>
      <c r="S405" s="72"/>
    </row>
    <row r="406" spans="1:19" ht="17.25" customHeight="1">
      <c r="A406" s="299"/>
      <c r="B406" s="299"/>
      <c r="C406" s="1123" t="s">
        <v>1287</v>
      </c>
      <c r="D406" s="108"/>
      <c r="E406" s="108"/>
      <c r="F406" s="108"/>
      <c r="G406" s="108"/>
      <c r="H406" s="108"/>
      <c r="I406" s="107"/>
      <c r="J406" s="107"/>
      <c r="K406" s="108"/>
      <c r="L406" s="74">
        <v>300</v>
      </c>
      <c r="M406" s="74" t="s">
        <v>47</v>
      </c>
      <c r="N406" s="107"/>
      <c r="O406" s="947">
        <v>168</v>
      </c>
      <c r="P406" s="110">
        <f>L406*O406</f>
        <v>50400</v>
      </c>
      <c r="Q406" s="1115"/>
      <c r="R406" s="1115"/>
      <c r="S406" s="72"/>
    </row>
    <row r="407" spans="1:19" ht="17.25" customHeight="1">
      <c r="A407" s="299"/>
      <c r="B407" s="299"/>
      <c r="C407" s="1142" t="s">
        <v>1401</v>
      </c>
      <c r="D407" s="108"/>
      <c r="E407" s="108"/>
      <c r="F407" s="108"/>
      <c r="G407" s="108"/>
      <c r="H407" s="108"/>
      <c r="I407" s="107"/>
      <c r="J407" s="107"/>
      <c r="K407" s="108"/>
      <c r="L407" s="107"/>
      <c r="M407" s="107"/>
      <c r="N407" s="107"/>
      <c r="O407" s="947"/>
      <c r="P407" s="109">
        <f>SUM(P408:P413)</f>
        <v>549500</v>
      </c>
      <c r="Q407" s="1115"/>
      <c r="R407" s="1115"/>
      <c r="S407" s="72"/>
    </row>
    <row r="408" spans="1:19" ht="17.25" customHeight="1">
      <c r="A408" s="299"/>
      <c r="B408" s="299"/>
      <c r="C408" s="1123" t="s">
        <v>1289</v>
      </c>
      <c r="D408" s="108"/>
      <c r="E408" s="108"/>
      <c r="F408" s="108"/>
      <c r="G408" s="108"/>
      <c r="H408" s="108"/>
      <c r="I408" s="107"/>
      <c r="J408" s="107"/>
      <c r="K408" s="108"/>
      <c r="L408" s="74">
        <v>80</v>
      </c>
      <c r="M408" s="74" t="s">
        <v>658</v>
      </c>
      <c r="N408" s="107"/>
      <c r="O408" s="947">
        <v>2500</v>
      </c>
      <c r="P408" s="110">
        <f>O408*L408</f>
        <v>200000</v>
      </c>
      <c r="Q408" s="1115"/>
      <c r="R408" s="1115"/>
      <c r="S408" s="72"/>
    </row>
    <row r="409" spans="1:19" ht="17.25" customHeight="1">
      <c r="A409" s="299"/>
      <c r="B409" s="299"/>
      <c r="C409" s="1123" t="s">
        <v>1290</v>
      </c>
      <c r="D409" s="108"/>
      <c r="E409" s="108"/>
      <c r="F409" s="108"/>
      <c r="G409" s="108"/>
      <c r="H409" s="108"/>
      <c r="I409" s="107"/>
      <c r="J409" s="107"/>
      <c r="K409" s="108"/>
      <c r="L409" s="74">
        <v>200</v>
      </c>
      <c r="M409" s="74" t="s">
        <v>811</v>
      </c>
      <c r="N409" s="107"/>
      <c r="O409" s="947">
        <f>1200</f>
        <v>1200</v>
      </c>
      <c r="P409" s="110">
        <f>O409*L409</f>
        <v>240000</v>
      </c>
      <c r="Q409" s="1115"/>
      <c r="R409" s="1115"/>
      <c r="S409" s="72"/>
    </row>
    <row r="410" spans="1:19" ht="17.25" customHeight="1">
      <c r="A410" s="299"/>
      <c r="B410" s="299"/>
      <c r="C410" s="1123" t="s">
        <v>1291</v>
      </c>
      <c r="D410" s="108"/>
      <c r="E410" s="108"/>
      <c r="F410" s="108"/>
      <c r="G410" s="108"/>
      <c r="H410" s="108"/>
      <c r="I410" s="107"/>
      <c r="J410" s="107"/>
      <c r="K410" s="108"/>
      <c r="L410" s="74">
        <v>160</v>
      </c>
      <c r="M410" s="74" t="s">
        <v>33</v>
      </c>
      <c r="N410" s="107"/>
      <c r="O410" s="947">
        <f>240</f>
        <v>240</v>
      </c>
      <c r="P410" s="110">
        <f>O410*L410</f>
        <v>38400</v>
      </c>
      <c r="Q410" s="1115"/>
      <c r="R410" s="1115"/>
      <c r="S410" s="72"/>
    </row>
    <row r="411" spans="1:19" ht="17.25" customHeight="1">
      <c r="A411" s="299"/>
      <c r="B411" s="299"/>
      <c r="C411" s="1123" t="s">
        <v>1292</v>
      </c>
      <c r="D411" s="108"/>
      <c r="E411" s="108"/>
      <c r="F411" s="108"/>
      <c r="G411" s="108"/>
      <c r="H411" s="108"/>
      <c r="I411" s="107"/>
      <c r="J411" s="107"/>
      <c r="K411" s="108"/>
      <c r="L411" s="74">
        <v>240</v>
      </c>
      <c r="M411" s="74" t="s">
        <v>33</v>
      </c>
      <c r="N411" s="107"/>
      <c r="O411" s="947">
        <f>270</f>
        <v>270</v>
      </c>
      <c r="P411" s="110">
        <f>O411*L411</f>
        <v>64800</v>
      </c>
      <c r="Q411" s="1115"/>
      <c r="R411" s="1115"/>
      <c r="S411" s="72"/>
    </row>
    <row r="412" spans="1:19" ht="17.25" customHeight="1">
      <c r="A412" s="299"/>
      <c r="B412" s="299"/>
      <c r="C412" s="1123" t="s">
        <v>1293</v>
      </c>
      <c r="D412" s="108"/>
      <c r="E412" s="108"/>
      <c r="F412" s="108"/>
      <c r="G412" s="108"/>
      <c r="H412" s="108"/>
      <c r="I412" s="107"/>
      <c r="J412" s="107"/>
      <c r="K412" s="108"/>
      <c r="L412" s="74">
        <v>40</v>
      </c>
      <c r="M412" s="74" t="s">
        <v>812</v>
      </c>
      <c r="N412" s="107"/>
      <c r="O412" s="947">
        <f>70</f>
        <v>70</v>
      </c>
      <c r="P412" s="110">
        <f>O412*L412</f>
        <v>2800</v>
      </c>
      <c r="Q412" s="1115"/>
      <c r="R412" s="1115"/>
      <c r="S412" s="72"/>
    </row>
    <row r="413" spans="1:19" ht="17.25" customHeight="1">
      <c r="A413" s="299"/>
      <c r="B413" s="299"/>
      <c r="C413" s="1123" t="s">
        <v>1294</v>
      </c>
      <c r="D413" s="108"/>
      <c r="E413" s="108"/>
      <c r="F413" s="108"/>
      <c r="G413" s="108"/>
      <c r="H413" s="108"/>
      <c r="I413" s="107"/>
      <c r="J413" s="107"/>
      <c r="K413" s="108"/>
      <c r="L413" s="119"/>
      <c r="M413" s="119"/>
      <c r="N413" s="107"/>
      <c r="O413" s="1032" t="s">
        <v>159</v>
      </c>
      <c r="P413" s="110">
        <v>3500</v>
      </c>
      <c r="Q413" s="1115"/>
      <c r="R413" s="1115"/>
      <c r="S413" s="72"/>
    </row>
    <row r="414" spans="1:19" ht="17.25" customHeight="1">
      <c r="A414" s="299"/>
      <c r="B414" s="299"/>
      <c r="C414" s="1142" t="s">
        <v>1402</v>
      </c>
      <c r="D414" s="108"/>
      <c r="E414" s="108"/>
      <c r="F414" s="108"/>
      <c r="G414" s="108"/>
      <c r="H414" s="108"/>
      <c r="I414" s="107"/>
      <c r="J414" s="107"/>
      <c r="K414" s="108"/>
      <c r="L414" s="107"/>
      <c r="M414" s="107"/>
      <c r="N414" s="107"/>
      <c r="O414" s="947"/>
      <c r="P414" s="109">
        <f>SUM(P415:P421)</f>
        <v>252100</v>
      </c>
      <c r="Q414" s="1115"/>
      <c r="R414" s="1115"/>
      <c r="S414" s="72"/>
    </row>
    <row r="415" spans="1:19" ht="17.25" customHeight="1">
      <c r="A415" s="299"/>
      <c r="B415" s="299"/>
      <c r="C415" s="1123" t="s">
        <v>1295</v>
      </c>
      <c r="D415" s="108"/>
      <c r="E415" s="108"/>
      <c r="F415" s="108"/>
      <c r="G415" s="108"/>
      <c r="H415" s="108"/>
      <c r="I415" s="107"/>
      <c r="J415" s="107"/>
      <c r="K415" s="108"/>
      <c r="L415" s="74">
        <v>200</v>
      </c>
      <c r="M415" s="74" t="s">
        <v>813</v>
      </c>
      <c r="N415" s="107"/>
      <c r="O415" s="947">
        <f>150</f>
        <v>150</v>
      </c>
      <c r="P415" s="110">
        <f>O415*L415</f>
        <v>30000</v>
      </c>
      <c r="Q415" s="1115"/>
      <c r="R415" s="1115"/>
      <c r="S415" s="72"/>
    </row>
    <row r="416" spans="1:19" ht="17.25" customHeight="1">
      <c r="A416" s="299"/>
      <c r="B416" s="299"/>
      <c r="C416" s="1123" t="s">
        <v>1296</v>
      </c>
      <c r="D416" s="108"/>
      <c r="E416" s="108"/>
      <c r="F416" s="108"/>
      <c r="G416" s="108"/>
      <c r="H416" s="108"/>
      <c r="I416" s="107"/>
      <c r="J416" s="107"/>
      <c r="K416" s="108"/>
      <c r="L416" s="74">
        <v>14</v>
      </c>
      <c r="M416" s="74" t="s">
        <v>517</v>
      </c>
      <c r="N416" s="107"/>
      <c r="O416" s="947">
        <f>1200</f>
        <v>1200</v>
      </c>
      <c r="P416" s="110">
        <f t="shared" ref="P416:P421" si="17">O416*L416</f>
        <v>16800</v>
      </c>
      <c r="Q416" s="1115"/>
      <c r="R416" s="1115"/>
      <c r="S416" s="72"/>
    </row>
    <row r="417" spans="1:19" ht="17.25" customHeight="1">
      <c r="A417" s="299"/>
      <c r="B417" s="299"/>
      <c r="C417" s="1123" t="s">
        <v>1297</v>
      </c>
      <c r="D417" s="108"/>
      <c r="E417" s="108"/>
      <c r="F417" s="108"/>
      <c r="G417" s="108"/>
      <c r="H417" s="108"/>
      <c r="I417" s="107"/>
      <c r="J417" s="107"/>
      <c r="K417" s="108"/>
      <c r="L417" s="74">
        <v>6</v>
      </c>
      <c r="M417" s="74" t="s">
        <v>361</v>
      </c>
      <c r="N417" s="107"/>
      <c r="O417" s="947">
        <f>300</f>
        <v>300</v>
      </c>
      <c r="P417" s="110">
        <f t="shared" si="17"/>
        <v>1800</v>
      </c>
      <c r="Q417" s="1115"/>
      <c r="R417" s="1115"/>
      <c r="S417" s="72"/>
    </row>
    <row r="418" spans="1:19" ht="17.25" customHeight="1">
      <c r="A418" s="299"/>
      <c r="B418" s="299"/>
      <c r="C418" s="1123" t="s">
        <v>1298</v>
      </c>
      <c r="D418" s="108"/>
      <c r="E418" s="108"/>
      <c r="F418" s="108"/>
      <c r="G418" s="108"/>
      <c r="H418" s="108"/>
      <c r="I418" s="107"/>
      <c r="J418" s="107"/>
      <c r="K418" s="108"/>
      <c r="L418" s="74">
        <v>300</v>
      </c>
      <c r="M418" s="74" t="s">
        <v>361</v>
      </c>
      <c r="N418" s="107"/>
      <c r="O418" s="947">
        <f>500</f>
        <v>500</v>
      </c>
      <c r="P418" s="110">
        <f t="shared" si="17"/>
        <v>150000</v>
      </c>
      <c r="Q418" s="1115"/>
      <c r="R418" s="1115"/>
      <c r="S418" s="72"/>
    </row>
    <row r="419" spans="1:19" ht="17.25" customHeight="1">
      <c r="A419" s="344"/>
      <c r="B419" s="344"/>
      <c r="C419" s="1123" t="s">
        <v>1299</v>
      </c>
      <c r="D419" s="108"/>
      <c r="E419" s="108"/>
      <c r="F419" s="108"/>
      <c r="G419" s="108"/>
      <c r="H419" s="108"/>
      <c r="I419" s="107"/>
      <c r="J419" s="107"/>
      <c r="K419" s="108"/>
      <c r="L419" s="74">
        <v>600</v>
      </c>
      <c r="M419" s="74" t="s">
        <v>1300</v>
      </c>
      <c r="N419" s="107"/>
      <c r="O419" s="947">
        <f>50</f>
        <v>50</v>
      </c>
      <c r="P419" s="110">
        <f t="shared" si="17"/>
        <v>30000</v>
      </c>
      <c r="Q419" s="1115"/>
      <c r="R419" s="1115"/>
      <c r="S419" s="72"/>
    </row>
    <row r="420" spans="1:19" ht="17.25" customHeight="1">
      <c r="A420" s="1128"/>
      <c r="B420" s="1128"/>
      <c r="C420" s="1123" t="s">
        <v>1301</v>
      </c>
      <c r="D420" s="108"/>
      <c r="E420" s="108"/>
      <c r="F420" s="108"/>
      <c r="G420" s="108"/>
      <c r="H420" s="108"/>
      <c r="I420" s="107"/>
      <c r="J420" s="107"/>
      <c r="K420" s="108"/>
      <c r="L420" s="74">
        <v>1</v>
      </c>
      <c r="M420" s="74" t="s">
        <v>658</v>
      </c>
      <c r="N420" s="107"/>
      <c r="O420" s="947">
        <v>2500</v>
      </c>
      <c r="P420" s="110">
        <f t="shared" si="17"/>
        <v>2500</v>
      </c>
      <c r="Q420" s="1115"/>
      <c r="R420" s="1115"/>
      <c r="S420" s="72"/>
    </row>
    <row r="421" spans="1:19" ht="17.25" customHeight="1">
      <c r="A421" s="299"/>
      <c r="B421" s="299"/>
      <c r="C421" s="1123" t="s">
        <v>1302</v>
      </c>
      <c r="D421" s="108"/>
      <c r="E421" s="108"/>
      <c r="F421" s="108"/>
      <c r="G421" s="108"/>
      <c r="H421" s="108"/>
      <c r="I421" s="107"/>
      <c r="J421" s="107"/>
      <c r="K421" s="108"/>
      <c r="L421" s="74">
        <v>300</v>
      </c>
      <c r="M421" s="74" t="s">
        <v>1300</v>
      </c>
      <c r="N421" s="107"/>
      <c r="O421" s="947">
        <f>70</f>
        <v>70</v>
      </c>
      <c r="P421" s="110">
        <f t="shared" si="17"/>
        <v>21000</v>
      </c>
      <c r="Q421" s="1115"/>
      <c r="R421" s="1115"/>
      <c r="S421" s="72"/>
    </row>
    <row r="422" spans="1:19" ht="17.25" customHeight="1">
      <c r="A422" s="299"/>
      <c r="B422" s="299"/>
      <c r="C422" s="1142" t="s">
        <v>1403</v>
      </c>
      <c r="D422" s="108"/>
      <c r="E422" s="108"/>
      <c r="F422" s="108"/>
      <c r="G422" s="108"/>
      <c r="H422" s="108"/>
      <c r="I422" s="107"/>
      <c r="J422" s="107"/>
      <c r="K422" s="108"/>
      <c r="L422" s="107"/>
      <c r="M422" s="107"/>
      <c r="N422" s="107"/>
      <c r="O422" s="947"/>
      <c r="P422" s="109">
        <f>SUM(P423:P429)</f>
        <v>102500</v>
      </c>
      <c r="Q422" s="1115"/>
      <c r="R422" s="1115"/>
      <c r="S422" s="72"/>
    </row>
    <row r="423" spans="1:19" ht="17.25" customHeight="1">
      <c r="A423" s="299"/>
      <c r="B423" s="299"/>
      <c r="C423" s="1123" t="s">
        <v>1303</v>
      </c>
      <c r="D423" s="108"/>
      <c r="E423" s="108"/>
      <c r="F423" s="108"/>
      <c r="G423" s="108"/>
      <c r="H423" s="108"/>
      <c r="I423" s="107"/>
      <c r="J423" s="107"/>
      <c r="K423" s="108"/>
      <c r="L423" s="74">
        <v>100</v>
      </c>
      <c r="M423" s="74" t="s">
        <v>813</v>
      </c>
      <c r="N423" s="107"/>
      <c r="O423" s="947">
        <f>150</f>
        <v>150</v>
      </c>
      <c r="P423" s="110">
        <f t="shared" ref="P423:P429" si="18">O423*L423</f>
        <v>15000</v>
      </c>
      <c r="Q423" s="1115"/>
      <c r="R423" s="1115"/>
      <c r="S423" s="72"/>
    </row>
    <row r="424" spans="1:19" ht="17.25" customHeight="1">
      <c r="A424" s="299"/>
      <c r="B424" s="299"/>
      <c r="C424" s="1123" t="s">
        <v>1296</v>
      </c>
      <c r="D424" s="108"/>
      <c r="E424" s="108"/>
      <c r="F424" s="108"/>
      <c r="G424" s="108"/>
      <c r="H424" s="108"/>
      <c r="I424" s="107"/>
      <c r="J424" s="107"/>
      <c r="K424" s="108"/>
      <c r="L424" s="74">
        <v>14</v>
      </c>
      <c r="M424" s="74" t="s">
        <v>517</v>
      </c>
      <c r="N424" s="107"/>
      <c r="O424" s="947">
        <f>1200</f>
        <v>1200</v>
      </c>
      <c r="P424" s="110">
        <f t="shared" si="18"/>
        <v>16800</v>
      </c>
      <c r="Q424" s="1115"/>
      <c r="R424" s="1115"/>
      <c r="S424" s="72"/>
    </row>
    <row r="425" spans="1:19" ht="17.25" customHeight="1">
      <c r="A425" s="299"/>
      <c r="B425" s="299"/>
      <c r="C425" s="1123" t="s">
        <v>1297</v>
      </c>
      <c r="D425" s="108"/>
      <c r="E425" s="108"/>
      <c r="F425" s="108"/>
      <c r="G425" s="108"/>
      <c r="H425" s="108"/>
      <c r="I425" s="107"/>
      <c r="J425" s="107"/>
      <c r="K425" s="108"/>
      <c r="L425" s="74">
        <v>4</v>
      </c>
      <c r="M425" s="74" t="s">
        <v>361</v>
      </c>
      <c r="N425" s="107"/>
      <c r="O425" s="947">
        <f>300</f>
        <v>300</v>
      </c>
      <c r="P425" s="110">
        <f t="shared" si="18"/>
        <v>1200</v>
      </c>
      <c r="Q425" s="1115"/>
      <c r="R425" s="1115"/>
      <c r="S425" s="72"/>
    </row>
    <row r="426" spans="1:19" ht="17.25" customHeight="1">
      <c r="A426" s="299"/>
      <c r="B426" s="299"/>
      <c r="C426" s="1123" t="s">
        <v>1304</v>
      </c>
      <c r="D426" s="108"/>
      <c r="E426" s="108"/>
      <c r="F426" s="108"/>
      <c r="G426" s="108"/>
      <c r="H426" s="108"/>
      <c r="I426" s="107"/>
      <c r="J426" s="107"/>
      <c r="K426" s="108"/>
      <c r="L426" s="74">
        <v>100</v>
      </c>
      <c r="M426" s="74" t="s">
        <v>361</v>
      </c>
      <c r="N426" s="107"/>
      <c r="O426" s="947">
        <f>500</f>
        <v>500</v>
      </c>
      <c r="P426" s="110">
        <f t="shared" si="18"/>
        <v>50000</v>
      </c>
      <c r="Q426" s="1115"/>
      <c r="R426" s="1115"/>
      <c r="S426" s="72"/>
    </row>
    <row r="427" spans="1:19" ht="17.25" customHeight="1">
      <c r="A427" s="299"/>
      <c r="B427" s="299"/>
      <c r="C427" s="1123" t="s">
        <v>1305</v>
      </c>
      <c r="D427" s="108"/>
      <c r="E427" s="108"/>
      <c r="F427" s="108"/>
      <c r="G427" s="108"/>
      <c r="H427" s="108"/>
      <c r="I427" s="107"/>
      <c r="J427" s="107"/>
      <c r="K427" s="108"/>
      <c r="L427" s="74">
        <v>200</v>
      </c>
      <c r="M427" s="74" t="s">
        <v>1300</v>
      </c>
      <c r="N427" s="107"/>
      <c r="O427" s="947">
        <f>50</f>
        <v>50</v>
      </c>
      <c r="P427" s="110">
        <f t="shared" si="18"/>
        <v>10000</v>
      </c>
      <c r="Q427" s="1115"/>
      <c r="R427" s="1115"/>
      <c r="S427" s="72"/>
    </row>
    <row r="428" spans="1:19" ht="17.25" customHeight="1">
      <c r="A428" s="299"/>
      <c r="B428" s="299"/>
      <c r="C428" s="1123" t="s">
        <v>1301</v>
      </c>
      <c r="D428" s="108"/>
      <c r="E428" s="108"/>
      <c r="F428" s="108"/>
      <c r="G428" s="108"/>
      <c r="H428" s="108"/>
      <c r="I428" s="107"/>
      <c r="J428" s="107"/>
      <c r="K428" s="108"/>
      <c r="L428" s="74">
        <v>1</v>
      </c>
      <c r="M428" s="74" t="s">
        <v>658</v>
      </c>
      <c r="N428" s="107"/>
      <c r="O428" s="947">
        <v>2500</v>
      </c>
      <c r="P428" s="110">
        <f t="shared" si="18"/>
        <v>2500</v>
      </c>
      <c r="Q428" s="1115"/>
      <c r="R428" s="1115"/>
      <c r="S428" s="72"/>
    </row>
    <row r="429" spans="1:19" ht="17.25" customHeight="1">
      <c r="A429" s="299"/>
      <c r="B429" s="299"/>
      <c r="C429" s="1123" t="s">
        <v>1306</v>
      </c>
      <c r="D429" s="108"/>
      <c r="E429" s="108"/>
      <c r="F429" s="108"/>
      <c r="G429" s="108"/>
      <c r="H429" s="108"/>
      <c r="I429" s="107"/>
      <c r="J429" s="107"/>
      <c r="K429" s="108"/>
      <c r="L429" s="74">
        <v>100</v>
      </c>
      <c r="M429" s="74" t="s">
        <v>1300</v>
      </c>
      <c r="N429" s="107"/>
      <c r="O429" s="947">
        <f>70</f>
        <v>70</v>
      </c>
      <c r="P429" s="110">
        <f t="shared" si="18"/>
        <v>7000</v>
      </c>
      <c r="Q429" s="1115"/>
      <c r="R429" s="1115"/>
      <c r="S429" s="72"/>
    </row>
    <row r="430" spans="1:19" ht="17.25" customHeight="1">
      <c r="A430" s="299"/>
      <c r="B430" s="299"/>
      <c r="C430" s="1142" t="s">
        <v>1404</v>
      </c>
      <c r="D430" s="108"/>
      <c r="E430" s="108"/>
      <c r="F430" s="108"/>
      <c r="G430" s="108"/>
      <c r="H430" s="108"/>
      <c r="I430" s="107"/>
      <c r="J430" s="107"/>
      <c r="K430" s="108"/>
      <c r="L430" s="107"/>
      <c r="M430" s="107"/>
      <c r="N430" s="107"/>
      <c r="O430" s="947"/>
      <c r="P430" s="109">
        <f>SUM(P431:P437)</f>
        <v>267100</v>
      </c>
      <c r="Q430" s="1115"/>
      <c r="R430" s="1115"/>
      <c r="S430" s="72"/>
    </row>
    <row r="431" spans="1:19" ht="17.25" customHeight="1">
      <c r="A431" s="299"/>
      <c r="B431" s="299"/>
      <c r="C431" s="1123" t="s">
        <v>1307</v>
      </c>
      <c r="D431" s="108"/>
      <c r="E431" s="108"/>
      <c r="F431" s="108"/>
      <c r="G431" s="108"/>
      <c r="H431" s="108"/>
      <c r="I431" s="107"/>
      <c r="J431" s="107"/>
      <c r="K431" s="108"/>
      <c r="L431" s="74">
        <v>300</v>
      </c>
      <c r="M431" s="74" t="s">
        <v>813</v>
      </c>
      <c r="N431" s="107"/>
      <c r="O431" s="947">
        <f>150</f>
        <v>150</v>
      </c>
      <c r="P431" s="110">
        <f t="shared" ref="P431:P437" si="19">O431*L431</f>
        <v>45000</v>
      </c>
      <c r="Q431" s="1115"/>
      <c r="R431" s="1115"/>
      <c r="S431" s="72"/>
    </row>
    <row r="432" spans="1:19" ht="17.25" customHeight="1">
      <c r="A432" s="299"/>
      <c r="B432" s="299"/>
      <c r="C432" s="1123" t="s">
        <v>1296</v>
      </c>
      <c r="D432" s="108"/>
      <c r="E432" s="108"/>
      <c r="F432" s="108"/>
      <c r="G432" s="108"/>
      <c r="H432" s="108"/>
      <c r="I432" s="107"/>
      <c r="J432" s="107"/>
      <c r="K432" s="108"/>
      <c r="L432" s="74">
        <v>14</v>
      </c>
      <c r="M432" s="74" t="s">
        <v>517</v>
      </c>
      <c r="N432" s="107"/>
      <c r="O432" s="947">
        <f>1200</f>
        <v>1200</v>
      </c>
      <c r="P432" s="110">
        <f t="shared" si="19"/>
        <v>16800</v>
      </c>
      <c r="Q432" s="1115"/>
      <c r="R432" s="1115"/>
      <c r="S432" s="72"/>
    </row>
    <row r="433" spans="1:19" ht="17.25" customHeight="1">
      <c r="A433" s="299"/>
      <c r="B433" s="299"/>
      <c r="C433" s="1123" t="s">
        <v>1297</v>
      </c>
      <c r="D433" s="108"/>
      <c r="E433" s="108"/>
      <c r="F433" s="108"/>
      <c r="G433" s="108"/>
      <c r="H433" s="108"/>
      <c r="I433" s="107"/>
      <c r="J433" s="107"/>
      <c r="K433" s="108"/>
      <c r="L433" s="74">
        <v>6</v>
      </c>
      <c r="M433" s="74" t="s">
        <v>361</v>
      </c>
      <c r="N433" s="107"/>
      <c r="O433" s="947">
        <f>300</f>
        <v>300</v>
      </c>
      <c r="P433" s="110">
        <f t="shared" si="19"/>
        <v>1800</v>
      </c>
      <c r="Q433" s="1115"/>
      <c r="R433" s="1115"/>
      <c r="S433" s="72"/>
    </row>
    <row r="434" spans="1:19" ht="17.25" customHeight="1">
      <c r="A434" s="299"/>
      <c r="B434" s="299"/>
      <c r="C434" s="1123" t="s">
        <v>1298</v>
      </c>
      <c r="D434" s="108"/>
      <c r="E434" s="108"/>
      <c r="F434" s="108"/>
      <c r="G434" s="108"/>
      <c r="H434" s="108"/>
      <c r="I434" s="107"/>
      <c r="J434" s="107"/>
      <c r="K434" s="108"/>
      <c r="L434" s="74">
        <v>300</v>
      </c>
      <c r="M434" s="74" t="s">
        <v>361</v>
      </c>
      <c r="N434" s="107"/>
      <c r="O434" s="947">
        <f>500</f>
        <v>500</v>
      </c>
      <c r="P434" s="110">
        <f t="shared" si="19"/>
        <v>150000</v>
      </c>
      <c r="Q434" s="1115"/>
      <c r="R434" s="1115"/>
      <c r="S434" s="72"/>
    </row>
    <row r="435" spans="1:19" ht="17.25" customHeight="1">
      <c r="A435" s="299"/>
      <c r="B435" s="299"/>
      <c r="C435" s="1123" t="s">
        <v>1299</v>
      </c>
      <c r="D435" s="108"/>
      <c r="E435" s="108"/>
      <c r="F435" s="108"/>
      <c r="G435" s="108"/>
      <c r="H435" s="108"/>
      <c r="I435" s="107"/>
      <c r="J435" s="107"/>
      <c r="K435" s="108"/>
      <c r="L435" s="74">
        <v>600</v>
      </c>
      <c r="M435" s="74" t="s">
        <v>1300</v>
      </c>
      <c r="N435" s="107"/>
      <c r="O435" s="947">
        <f>50</f>
        <v>50</v>
      </c>
      <c r="P435" s="110">
        <f t="shared" si="19"/>
        <v>30000</v>
      </c>
      <c r="Q435" s="1115"/>
      <c r="R435" s="1115"/>
      <c r="S435" s="72"/>
    </row>
    <row r="436" spans="1:19" ht="17.25" customHeight="1">
      <c r="A436" s="299"/>
      <c r="B436" s="299"/>
      <c r="C436" s="1123" t="s">
        <v>1301</v>
      </c>
      <c r="D436" s="108"/>
      <c r="E436" s="108"/>
      <c r="F436" s="108"/>
      <c r="G436" s="108"/>
      <c r="H436" s="108"/>
      <c r="I436" s="107"/>
      <c r="J436" s="107"/>
      <c r="K436" s="108"/>
      <c r="L436" s="74">
        <v>1</v>
      </c>
      <c r="M436" s="74" t="s">
        <v>658</v>
      </c>
      <c r="N436" s="107"/>
      <c r="O436" s="947">
        <v>2500</v>
      </c>
      <c r="P436" s="110">
        <f t="shared" si="19"/>
        <v>2500</v>
      </c>
      <c r="Q436" s="1115"/>
      <c r="R436" s="1115"/>
      <c r="S436" s="72"/>
    </row>
    <row r="437" spans="1:19" ht="17.25" customHeight="1">
      <c r="A437" s="299"/>
      <c r="B437" s="299"/>
      <c r="C437" s="1123" t="s">
        <v>1302</v>
      </c>
      <c r="D437" s="108"/>
      <c r="E437" s="108"/>
      <c r="F437" s="108"/>
      <c r="G437" s="108"/>
      <c r="H437" s="108"/>
      <c r="I437" s="107"/>
      <c r="J437" s="107"/>
      <c r="K437" s="108"/>
      <c r="L437" s="74">
        <v>300</v>
      </c>
      <c r="M437" s="74" t="s">
        <v>1300</v>
      </c>
      <c r="N437" s="107"/>
      <c r="O437" s="947">
        <f>70</f>
        <v>70</v>
      </c>
      <c r="P437" s="110">
        <f t="shared" si="19"/>
        <v>21000</v>
      </c>
      <c r="Q437" s="1115"/>
      <c r="R437" s="1115"/>
      <c r="S437" s="72"/>
    </row>
    <row r="438" spans="1:19" ht="17.25" customHeight="1">
      <c r="A438" s="299"/>
      <c r="B438" s="299"/>
      <c r="C438" s="1142" t="s">
        <v>1405</v>
      </c>
      <c r="D438" s="108"/>
      <c r="E438" s="108"/>
      <c r="F438" s="108"/>
      <c r="G438" s="108"/>
      <c r="H438" s="108"/>
      <c r="I438" s="107"/>
      <c r="J438" s="107"/>
      <c r="K438" s="108"/>
      <c r="L438" s="107"/>
      <c r="M438" s="107"/>
      <c r="N438" s="107"/>
      <c r="O438" s="947"/>
      <c r="P438" s="109">
        <f>SUM(P439:P443)</f>
        <v>39500</v>
      </c>
      <c r="Q438" s="1115"/>
      <c r="R438" s="1115"/>
      <c r="S438" s="72"/>
    </row>
    <row r="439" spans="1:19" ht="17.25" customHeight="1">
      <c r="A439" s="299"/>
      <c r="B439" s="299"/>
      <c r="C439" s="1123" t="s">
        <v>1308</v>
      </c>
      <c r="D439" s="108"/>
      <c r="E439" s="108"/>
      <c r="F439" s="108"/>
      <c r="G439" s="108"/>
      <c r="H439" s="108"/>
      <c r="I439" s="107"/>
      <c r="J439" s="107"/>
      <c r="K439" s="108"/>
      <c r="L439" s="74">
        <v>8</v>
      </c>
      <c r="M439" s="74" t="s">
        <v>20</v>
      </c>
      <c r="N439" s="107"/>
      <c r="O439" s="947">
        <v>350</v>
      </c>
      <c r="P439" s="110">
        <f>O439*L439</f>
        <v>2800</v>
      </c>
      <c r="Q439" s="1115"/>
      <c r="R439" s="1115"/>
      <c r="S439" s="72"/>
    </row>
    <row r="440" spans="1:19" ht="17.25" customHeight="1">
      <c r="A440" s="299"/>
      <c r="B440" s="299"/>
      <c r="C440" s="1123" t="s">
        <v>1309</v>
      </c>
      <c r="D440" s="108"/>
      <c r="E440" s="108"/>
      <c r="F440" s="108"/>
      <c r="G440" s="108"/>
      <c r="H440" s="108"/>
      <c r="I440" s="107"/>
      <c r="J440" s="107"/>
      <c r="K440" s="108"/>
      <c r="L440" s="74">
        <v>8</v>
      </c>
      <c r="M440" s="74" t="s">
        <v>20</v>
      </c>
      <c r="N440" s="107"/>
      <c r="O440" s="947">
        <v>400</v>
      </c>
      <c r="P440" s="110">
        <f>O440*L440</f>
        <v>3200</v>
      </c>
      <c r="Q440" s="1115"/>
      <c r="R440" s="1115"/>
      <c r="S440" s="72"/>
    </row>
    <row r="441" spans="1:19" ht="17.25" customHeight="1">
      <c r="A441" s="299"/>
      <c r="B441" s="299"/>
      <c r="C441" s="1123" t="s">
        <v>1310</v>
      </c>
      <c r="D441" s="108"/>
      <c r="E441" s="108"/>
      <c r="F441" s="108"/>
      <c r="G441" s="108"/>
      <c r="H441" s="108"/>
      <c r="I441" s="107"/>
      <c r="J441" s="107"/>
      <c r="K441" s="108"/>
      <c r="L441" s="74">
        <v>8</v>
      </c>
      <c r="M441" s="74" t="s">
        <v>20</v>
      </c>
      <c r="N441" s="107"/>
      <c r="O441" s="947">
        <v>1750</v>
      </c>
      <c r="P441" s="110">
        <f>O441*L441</f>
        <v>14000</v>
      </c>
      <c r="Q441" s="1115"/>
      <c r="R441" s="1115"/>
      <c r="S441" s="72"/>
    </row>
    <row r="442" spans="1:19" ht="17.25" customHeight="1">
      <c r="A442" s="299"/>
      <c r="B442" s="299"/>
      <c r="C442" s="1123" t="s">
        <v>1311</v>
      </c>
      <c r="D442" s="108"/>
      <c r="E442" s="108"/>
      <c r="F442" s="108"/>
      <c r="G442" s="108"/>
      <c r="H442" s="108"/>
      <c r="I442" s="107"/>
      <c r="J442" s="107"/>
      <c r="K442" s="108"/>
      <c r="L442" s="74">
        <v>8</v>
      </c>
      <c r="M442" s="74" t="s">
        <v>20</v>
      </c>
      <c r="N442" s="107"/>
      <c r="O442" s="947">
        <v>2000</v>
      </c>
      <c r="P442" s="110">
        <f>O442*L442</f>
        <v>16000</v>
      </c>
      <c r="Q442" s="1115"/>
      <c r="R442" s="1115"/>
      <c r="S442" s="72"/>
    </row>
    <row r="443" spans="1:19" ht="17.25" customHeight="1">
      <c r="A443" s="299"/>
      <c r="B443" s="299"/>
      <c r="C443" s="1123" t="s">
        <v>1312</v>
      </c>
      <c r="D443" s="108"/>
      <c r="E443" s="108"/>
      <c r="F443" s="108"/>
      <c r="G443" s="108"/>
      <c r="H443" s="108"/>
      <c r="I443" s="107"/>
      <c r="J443" s="107"/>
      <c r="K443" s="108"/>
      <c r="L443" s="74">
        <v>10</v>
      </c>
      <c r="M443" s="74" t="s">
        <v>20</v>
      </c>
      <c r="N443" s="107"/>
      <c r="O443" s="947">
        <v>350</v>
      </c>
      <c r="P443" s="110">
        <f>O443*L443</f>
        <v>3500</v>
      </c>
      <c r="Q443" s="1115"/>
      <c r="R443" s="1115"/>
      <c r="S443" s="72"/>
    </row>
    <row r="444" spans="1:19" ht="17.25" customHeight="1">
      <c r="A444" s="299"/>
      <c r="B444" s="299"/>
      <c r="C444" s="1123" t="s">
        <v>891</v>
      </c>
      <c r="D444" s="108"/>
      <c r="E444" s="108"/>
      <c r="F444" s="108"/>
      <c r="G444" s="108"/>
      <c r="H444" s="108"/>
      <c r="I444" s="107"/>
      <c r="J444" s="107"/>
      <c r="K444" s="108"/>
      <c r="L444" s="1067"/>
      <c r="M444" s="107"/>
      <c r="N444" s="107"/>
      <c r="O444" s="1032" t="s">
        <v>159</v>
      </c>
      <c r="P444" s="109">
        <v>56760</v>
      </c>
      <c r="Q444" s="1115"/>
      <c r="R444" s="1115"/>
      <c r="S444" s="72"/>
    </row>
    <row r="445" spans="1:19" ht="17.25" customHeight="1">
      <c r="A445" s="344"/>
      <c r="B445" s="344"/>
      <c r="C445" s="1123"/>
      <c r="D445" s="108"/>
      <c r="E445" s="108"/>
      <c r="F445" s="108"/>
      <c r="G445" s="108"/>
      <c r="H445" s="108"/>
      <c r="I445" s="107"/>
      <c r="J445" s="107"/>
      <c r="K445" s="108"/>
      <c r="L445" s="107"/>
      <c r="M445" s="107"/>
      <c r="N445" s="107"/>
      <c r="O445" s="1066"/>
      <c r="P445" s="1068"/>
      <c r="Q445" s="1115"/>
      <c r="R445" s="1115"/>
      <c r="S445" s="72"/>
    </row>
    <row r="446" spans="1:19" s="1173" customFormat="1">
      <c r="A446" s="286"/>
      <c r="B446" s="286"/>
      <c r="C446" s="347" t="s">
        <v>171</v>
      </c>
      <c r="D446" s="29" t="s">
        <v>172</v>
      </c>
      <c r="E446" s="29"/>
      <c r="F446" s="2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s="1173" customFormat="1">
      <c r="A447" s="286"/>
      <c r="B447" s="286"/>
      <c r="D447" s="1173" t="s">
        <v>466</v>
      </c>
      <c r="S447" s="1"/>
    </row>
  </sheetData>
  <mergeCells count="25">
    <mergeCell ref="A2:S2"/>
    <mergeCell ref="A3:S3"/>
    <mergeCell ref="A7:B10"/>
    <mergeCell ref="S7:S11"/>
    <mergeCell ref="S45:S49"/>
    <mergeCell ref="S25:S28"/>
    <mergeCell ref="S29:S33"/>
    <mergeCell ref="H7:R7"/>
    <mergeCell ref="M8:M11"/>
    <mergeCell ref="N8:N11"/>
    <mergeCell ref="O8:O11"/>
    <mergeCell ref="P8:P11"/>
    <mergeCell ref="H8:H11"/>
    <mergeCell ref="I8:K10"/>
    <mergeCell ref="L8:L11"/>
    <mergeCell ref="S35:S44"/>
    <mergeCell ref="S17:S24"/>
    <mergeCell ref="C335:G335"/>
    <mergeCell ref="Q8:Q11"/>
    <mergeCell ref="R8:R11"/>
    <mergeCell ref="C7:C11"/>
    <mergeCell ref="D7:E8"/>
    <mergeCell ref="F7:G8"/>
    <mergeCell ref="S50:S56"/>
    <mergeCell ref="S57:S61"/>
  </mergeCells>
  <pageMargins left="0.19685039370078741" right="0.11811023622047245" top="0.74803149606299213" bottom="0.55118110236220474" header="0.31496062992125984" footer="0.31496062992125984"/>
  <pageSetup paperSize="9" scale="85" orientation="landscape" r:id="rId1"/>
  <headerFooter>
    <oddFooter>&amp;C&amp;P/17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67"/>
  <sheetViews>
    <sheetView topLeftCell="A8" zoomScale="130" zoomScaleNormal="130" zoomScaleSheetLayoutView="120" workbookViewId="0">
      <selection activeCell="J26" sqref="J26"/>
    </sheetView>
  </sheetViews>
  <sheetFormatPr defaultRowHeight="18.75"/>
  <cols>
    <col min="1" max="1" width="4.5" style="286" customWidth="1"/>
    <col min="2" max="2" width="5" style="286" customWidth="1"/>
    <col min="3" max="3" width="31.5" style="1" customWidth="1"/>
    <col min="4" max="4" width="6.75" style="1" customWidth="1"/>
    <col min="5" max="7" width="6.625" style="1" customWidth="1"/>
    <col min="8" max="8" width="8.125" style="1" customWidth="1"/>
    <col min="9" max="9" width="7.125" style="1" customWidth="1"/>
    <col min="10" max="10" width="5.625" style="1" customWidth="1"/>
    <col min="11" max="11" width="6.25" style="1" customWidth="1"/>
    <col min="12" max="15" width="8.5" style="1" customWidth="1"/>
    <col min="16" max="16" width="10.75" style="1" customWidth="1"/>
    <col min="17" max="17" width="7.75" style="1116" customWidth="1"/>
    <col min="18" max="18" width="7.625" style="1116" customWidth="1"/>
    <col min="19" max="19" width="26" style="1" customWidth="1"/>
    <col min="20" max="16384" width="9" style="1"/>
  </cols>
  <sheetData>
    <row r="1" spans="1:19" ht="15" customHeight="1">
      <c r="Q1" s="30"/>
      <c r="R1" s="30"/>
    </row>
    <row r="2" spans="1:19" ht="24.75">
      <c r="A2" s="1"/>
      <c r="B2" s="1"/>
      <c r="C2" s="1772" t="s">
        <v>1561</v>
      </c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  <c r="R2" s="1772"/>
      <c r="S2" s="1772"/>
    </row>
    <row r="3" spans="1:19" ht="24.75">
      <c r="A3" s="1"/>
      <c r="B3" s="1"/>
      <c r="C3" s="1570" t="s">
        <v>85</v>
      </c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</row>
    <row r="4" spans="1:19" s="39" customFormat="1" ht="21.75">
      <c r="A4" s="287" t="s">
        <v>0</v>
      </c>
      <c r="B4" s="287"/>
      <c r="C4" s="40"/>
      <c r="D4" s="40"/>
      <c r="E4" s="40"/>
      <c r="F4" s="40"/>
      <c r="Q4" s="290"/>
      <c r="R4" s="290"/>
    </row>
    <row r="5" spans="1:19" s="39" customFormat="1" ht="21.75">
      <c r="A5" s="287" t="s">
        <v>1</v>
      </c>
      <c r="B5" s="287"/>
      <c r="C5" s="40"/>
      <c r="Q5" s="290"/>
      <c r="R5" s="290"/>
    </row>
    <row r="6" spans="1:19" ht="21.75">
      <c r="Q6" s="290"/>
      <c r="R6" s="290"/>
      <c r="S6" s="83" t="s">
        <v>254</v>
      </c>
    </row>
    <row r="7" spans="1:19" s="451" customFormat="1" ht="17.25" customHeight="1">
      <c r="A7" s="1776" t="s">
        <v>87</v>
      </c>
      <c r="B7" s="1776"/>
      <c r="C7" s="1577" t="s">
        <v>88</v>
      </c>
      <c r="D7" s="1612" t="s">
        <v>15</v>
      </c>
      <c r="E7" s="1613"/>
      <c r="F7" s="1612" t="s">
        <v>28</v>
      </c>
      <c r="G7" s="1613"/>
      <c r="H7" s="1616" t="s">
        <v>63</v>
      </c>
      <c r="I7" s="1616"/>
      <c r="J7" s="1616"/>
      <c r="K7" s="1616"/>
      <c r="L7" s="1616"/>
      <c r="M7" s="1616"/>
      <c r="N7" s="1616"/>
      <c r="O7" s="1616"/>
      <c r="P7" s="1616"/>
      <c r="Q7" s="86"/>
      <c r="R7" s="86"/>
      <c r="S7" s="1577" t="s">
        <v>91</v>
      </c>
    </row>
    <row r="8" spans="1:19" s="451" customFormat="1" ht="17.25" customHeight="1">
      <c r="A8" s="1776"/>
      <c r="B8" s="1776"/>
      <c r="C8" s="1583"/>
      <c r="D8" s="1614"/>
      <c r="E8" s="1615"/>
      <c r="F8" s="1614"/>
      <c r="G8" s="1615"/>
      <c r="H8" s="1619" t="s">
        <v>76</v>
      </c>
      <c r="I8" s="1619" t="s">
        <v>77</v>
      </c>
      <c r="J8" s="1619"/>
      <c r="K8" s="1619"/>
      <c r="L8" s="1583" t="s">
        <v>175</v>
      </c>
      <c r="M8" s="1583" t="s">
        <v>92</v>
      </c>
      <c r="N8" s="1583" t="s">
        <v>93</v>
      </c>
      <c r="O8" s="1583" t="s">
        <v>94</v>
      </c>
      <c r="P8" s="1583" t="s">
        <v>718</v>
      </c>
      <c r="Q8" s="1619" t="s">
        <v>89</v>
      </c>
      <c r="R8" s="1619" t="s">
        <v>90</v>
      </c>
      <c r="S8" s="1583"/>
    </row>
    <row r="9" spans="1:19" s="451" customFormat="1" ht="15.75" customHeight="1">
      <c r="A9" s="1776"/>
      <c r="B9" s="1776"/>
      <c r="C9" s="1583"/>
      <c r="D9" s="88" t="s">
        <v>4</v>
      </c>
      <c r="E9" s="88" t="s">
        <v>5</v>
      </c>
      <c r="F9" s="88" t="s">
        <v>4</v>
      </c>
      <c r="G9" s="88" t="s">
        <v>6</v>
      </c>
      <c r="H9" s="1619"/>
      <c r="I9" s="1619"/>
      <c r="J9" s="1619"/>
      <c r="K9" s="1619"/>
      <c r="L9" s="1583" t="s">
        <v>95</v>
      </c>
      <c r="M9" s="1583"/>
      <c r="N9" s="1583"/>
      <c r="O9" s="1583"/>
      <c r="P9" s="1583"/>
      <c r="Q9" s="1619"/>
      <c r="R9" s="1619"/>
      <c r="S9" s="1583"/>
    </row>
    <row r="10" spans="1:19" s="451" customFormat="1" ht="2.25" hidden="1" customHeight="1">
      <c r="A10" s="1776"/>
      <c r="B10" s="1776"/>
      <c r="C10" s="1583"/>
      <c r="D10" s="88"/>
      <c r="E10" s="88"/>
      <c r="F10" s="88"/>
      <c r="G10" s="88"/>
      <c r="H10" s="1619"/>
      <c r="I10" s="1619"/>
      <c r="J10" s="1619"/>
      <c r="K10" s="1619"/>
      <c r="L10" s="1583" t="s">
        <v>255</v>
      </c>
      <c r="M10" s="1583"/>
      <c r="N10" s="1583"/>
      <c r="O10" s="1583"/>
      <c r="P10" s="1583"/>
      <c r="Q10" s="1619"/>
      <c r="R10" s="1619"/>
      <c r="S10" s="1583"/>
    </row>
    <row r="11" spans="1:19" s="451" customFormat="1" ht="20.25" customHeight="1">
      <c r="A11" s="86" t="s">
        <v>96</v>
      </c>
      <c r="B11" s="86" t="s">
        <v>97</v>
      </c>
      <c r="C11" s="1578"/>
      <c r="D11" s="203"/>
      <c r="E11" s="203"/>
      <c r="F11" s="203"/>
      <c r="G11" s="446"/>
      <c r="H11" s="1619"/>
      <c r="I11" s="449" t="s">
        <v>78</v>
      </c>
      <c r="J11" s="449" t="s">
        <v>79</v>
      </c>
      <c r="K11" s="449" t="s">
        <v>80</v>
      </c>
      <c r="L11" s="1578" t="s">
        <v>719</v>
      </c>
      <c r="M11" s="1578"/>
      <c r="N11" s="1578"/>
      <c r="O11" s="1578"/>
      <c r="P11" s="1578"/>
      <c r="Q11" s="1619"/>
      <c r="R11" s="1619"/>
      <c r="S11" s="1578"/>
    </row>
    <row r="12" spans="1:19" s="383" customFormat="1" ht="16.5" thickBot="1">
      <c r="A12" s="93"/>
      <c r="B12" s="93"/>
      <c r="C12" s="93" t="s">
        <v>11</v>
      </c>
      <c r="D12" s="93"/>
      <c r="E12" s="93"/>
      <c r="F12" s="93"/>
      <c r="G12" s="380"/>
      <c r="H12" s="380"/>
      <c r="I12" s="380"/>
      <c r="J12" s="380"/>
      <c r="K12" s="380"/>
      <c r="L12" s="380"/>
      <c r="M12" s="380"/>
      <c r="N12" s="380"/>
      <c r="O12" s="380"/>
      <c r="P12" s="1083">
        <f>P18+P26+P49</f>
        <v>4150300</v>
      </c>
      <c r="Q12" s="97"/>
      <c r="R12" s="97"/>
      <c r="S12" s="1084"/>
    </row>
    <row r="13" spans="1:19" s="507" customFormat="1" ht="21" customHeight="1" thickTop="1">
      <c r="A13" s="502"/>
      <c r="B13" s="502"/>
      <c r="C13" s="971" t="s">
        <v>817</v>
      </c>
      <c r="D13" s="504"/>
      <c r="E13" s="504"/>
      <c r="F13" s="504"/>
      <c r="G13" s="502"/>
      <c r="H13" s="502"/>
      <c r="I13" s="502"/>
      <c r="J13" s="502"/>
      <c r="K13" s="502"/>
      <c r="L13" s="504"/>
      <c r="M13" s="502"/>
      <c r="N13" s="504"/>
      <c r="O13" s="502"/>
      <c r="P13" s="972"/>
      <c r="Q13" s="505"/>
      <c r="R13" s="1070"/>
      <c r="S13" s="505"/>
    </row>
    <row r="14" spans="1:19" s="515" customFormat="1" ht="20.25" customHeight="1">
      <c r="A14" s="508"/>
      <c r="B14" s="508"/>
      <c r="C14" s="974" t="s">
        <v>1722</v>
      </c>
      <c r="D14" s="510"/>
      <c r="E14" s="510"/>
      <c r="F14" s="510"/>
      <c r="G14" s="510"/>
      <c r="H14" s="510"/>
      <c r="I14" s="510"/>
      <c r="J14" s="510"/>
      <c r="K14" s="510"/>
      <c r="L14" s="511"/>
      <c r="M14" s="512"/>
      <c r="N14" s="511"/>
      <c r="O14" s="512"/>
      <c r="P14" s="975"/>
      <c r="Q14" s="514"/>
      <c r="R14" s="510"/>
      <c r="S14" s="514"/>
    </row>
    <row r="15" spans="1:19" s="608" customFormat="1" ht="25.5" customHeight="1">
      <c r="A15" s="607"/>
      <c r="B15" s="1425"/>
      <c r="C15" s="1129" t="s">
        <v>875</v>
      </c>
      <c r="D15" s="594"/>
      <c r="E15" s="594"/>
      <c r="F15" s="594"/>
      <c r="G15" s="594"/>
      <c r="H15" s="594"/>
      <c r="I15" s="594"/>
      <c r="J15" s="594"/>
      <c r="K15" s="594"/>
      <c r="L15" s="604"/>
      <c r="M15" s="604"/>
      <c r="N15" s="604"/>
      <c r="O15" s="604"/>
      <c r="P15" s="978"/>
      <c r="Q15" s="594"/>
      <c r="R15" s="1069"/>
      <c r="S15" s="594"/>
    </row>
    <row r="16" spans="1:19" s="608" customFormat="1" ht="24" customHeight="1">
      <c r="A16" s="607"/>
      <c r="B16" s="1425"/>
      <c r="C16" s="1130" t="s">
        <v>1511</v>
      </c>
      <c r="D16" s="594"/>
      <c r="E16" s="594"/>
      <c r="F16" s="594"/>
      <c r="G16" s="594"/>
      <c r="H16" s="594"/>
      <c r="I16" s="594"/>
      <c r="J16" s="594"/>
      <c r="K16" s="594"/>
      <c r="L16" s="604"/>
      <c r="M16" s="604"/>
      <c r="N16" s="604"/>
      <c r="O16" s="604"/>
      <c r="P16" s="939"/>
      <c r="Q16" s="940"/>
      <c r="R16" s="1069"/>
      <c r="S16" s="940"/>
    </row>
    <row r="17" spans="1:19" s="608" customFormat="1" ht="24" customHeight="1">
      <c r="A17" s="607"/>
      <c r="B17" s="1425"/>
      <c r="C17" s="1130" t="s">
        <v>1510</v>
      </c>
      <c r="D17" s="594"/>
      <c r="E17" s="594"/>
      <c r="F17" s="594"/>
      <c r="G17" s="594"/>
      <c r="H17" s="594"/>
      <c r="I17" s="594"/>
      <c r="J17" s="594"/>
      <c r="K17" s="594"/>
      <c r="L17" s="604"/>
      <c r="M17" s="604"/>
      <c r="N17" s="604"/>
      <c r="O17" s="604"/>
      <c r="P17" s="939"/>
      <c r="Q17" s="1115"/>
      <c r="R17" s="1115"/>
      <c r="S17" s="185" t="s">
        <v>178</v>
      </c>
    </row>
    <row r="18" spans="1:19" ht="17.25" customHeight="1">
      <c r="A18" s="607"/>
      <c r="B18" s="1425"/>
      <c r="C18" s="1132" t="s">
        <v>12</v>
      </c>
      <c r="D18" s="115"/>
      <c r="E18" s="115"/>
      <c r="F18" s="115"/>
      <c r="G18" s="72"/>
      <c r="H18" s="72"/>
      <c r="I18" s="72"/>
      <c r="J18" s="72"/>
      <c r="K18" s="72"/>
      <c r="L18" s="108"/>
      <c r="M18" s="108"/>
      <c r="N18" s="108"/>
      <c r="O18" s="108"/>
      <c r="P18" s="1085">
        <f>P19+P23</f>
        <v>1086000</v>
      </c>
      <c r="Q18" s="1115"/>
      <c r="R18" s="1115"/>
      <c r="S18" s="72" t="s">
        <v>1441</v>
      </c>
    </row>
    <row r="19" spans="1:19" ht="17.25" customHeight="1">
      <c r="A19" s="299"/>
      <c r="B19" s="1431"/>
      <c r="C19" s="1133" t="s">
        <v>101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5">
        <f>SUM(P20:P22)</f>
        <v>855000</v>
      </c>
      <c r="Q19" s="312"/>
      <c r="R19" s="312"/>
      <c r="S19" s="72" t="s">
        <v>1442</v>
      </c>
    </row>
    <row r="20" spans="1:19" ht="61.5" customHeight="1">
      <c r="A20" s="299"/>
      <c r="B20" s="1431"/>
      <c r="C20" s="1025" t="s">
        <v>1443</v>
      </c>
      <c r="D20" s="108"/>
      <c r="E20" s="108"/>
      <c r="F20" s="108"/>
      <c r="G20" s="108"/>
      <c r="H20" s="1086" t="s">
        <v>808</v>
      </c>
      <c r="I20" s="107"/>
      <c r="J20" s="1087" t="s">
        <v>104</v>
      </c>
      <c r="K20" s="108"/>
      <c r="L20" s="132">
        <v>1</v>
      </c>
      <c r="M20" s="132">
        <v>7</v>
      </c>
      <c r="N20" s="132">
        <v>6</v>
      </c>
      <c r="O20" s="1045">
        <v>60000</v>
      </c>
      <c r="P20" s="1088">
        <f>O20*N20*L20</f>
        <v>360000</v>
      </c>
      <c r="Q20" s="356"/>
      <c r="R20" s="356"/>
      <c r="S20" s="143" t="s">
        <v>1444</v>
      </c>
    </row>
    <row r="21" spans="1:19" ht="17.25" customHeight="1">
      <c r="A21" s="299"/>
      <c r="B21" s="1431"/>
      <c r="C21" s="1142" t="s">
        <v>1445</v>
      </c>
      <c r="D21" s="108"/>
      <c r="E21" s="108"/>
      <c r="F21" s="108"/>
      <c r="G21" s="108"/>
      <c r="H21" s="107" t="s">
        <v>808</v>
      </c>
      <c r="I21" s="107"/>
      <c r="J21" s="1087" t="s">
        <v>104</v>
      </c>
      <c r="K21" s="108"/>
      <c r="L21" s="132">
        <v>1</v>
      </c>
      <c r="M21" s="132">
        <v>7</v>
      </c>
      <c r="N21" s="132">
        <v>5</v>
      </c>
      <c r="O21" s="110">
        <v>50000</v>
      </c>
      <c r="P21" s="1089">
        <f>O21*N21*L21</f>
        <v>250000</v>
      </c>
      <c r="Q21" s="356"/>
      <c r="R21" s="356"/>
      <c r="S21" s="72" t="s">
        <v>1446</v>
      </c>
    </row>
    <row r="22" spans="1:19" ht="17.25" customHeight="1">
      <c r="A22" s="299"/>
      <c r="B22" s="1431"/>
      <c r="C22" s="1142" t="s">
        <v>1447</v>
      </c>
      <c r="D22" s="108"/>
      <c r="E22" s="108"/>
      <c r="F22" s="108"/>
      <c r="G22" s="108"/>
      <c r="H22" s="107" t="s">
        <v>808</v>
      </c>
      <c r="I22" s="1090" t="s">
        <v>104</v>
      </c>
      <c r="J22" s="107"/>
      <c r="K22" s="108"/>
      <c r="L22" s="132">
        <v>1</v>
      </c>
      <c r="M22" s="132">
        <v>5</v>
      </c>
      <c r="N22" s="132">
        <v>7</v>
      </c>
      <c r="O22" s="110">
        <v>35000</v>
      </c>
      <c r="P22" s="1089">
        <f>O22*N22*L22</f>
        <v>245000</v>
      </c>
      <c r="Q22" s="356"/>
      <c r="R22" s="356"/>
      <c r="S22" s="72" t="s">
        <v>1448</v>
      </c>
    </row>
    <row r="23" spans="1:19" ht="17.25" customHeight="1">
      <c r="A23" s="299"/>
      <c r="B23" s="1431"/>
      <c r="C23" s="1122" t="s">
        <v>112</v>
      </c>
      <c r="D23" s="108"/>
      <c r="E23" s="108"/>
      <c r="F23" s="108"/>
      <c r="G23" s="108"/>
      <c r="H23" s="108"/>
      <c r="I23" s="107"/>
      <c r="J23" s="107"/>
      <c r="K23" s="108"/>
      <c r="L23" s="1086"/>
      <c r="M23" s="1086"/>
      <c r="N23" s="1086"/>
      <c r="O23" s="310"/>
      <c r="P23" s="1085">
        <f>SUM(P24:P25)</f>
        <v>231000</v>
      </c>
      <c r="Q23" s="356"/>
      <c r="R23" s="356"/>
      <c r="S23" s="72" t="s">
        <v>1449</v>
      </c>
    </row>
    <row r="24" spans="1:19" ht="17.25" customHeight="1">
      <c r="A24" s="299"/>
      <c r="B24" s="1431"/>
      <c r="C24" s="1142" t="s">
        <v>1450</v>
      </c>
      <c r="D24" s="108"/>
      <c r="E24" s="108"/>
      <c r="F24" s="108"/>
      <c r="G24" s="108"/>
      <c r="H24" s="107" t="s">
        <v>114</v>
      </c>
      <c r="I24" s="1090" t="s">
        <v>104</v>
      </c>
      <c r="J24" s="107"/>
      <c r="K24" s="108"/>
      <c r="L24" s="132">
        <v>2</v>
      </c>
      <c r="M24" s="1086">
        <v>2</v>
      </c>
      <c r="N24" s="132">
        <v>4</v>
      </c>
      <c r="O24" s="110">
        <v>12000</v>
      </c>
      <c r="P24" s="1089">
        <f>O24*N24*L24</f>
        <v>96000</v>
      </c>
      <c r="Q24" s="356"/>
      <c r="R24" s="356"/>
      <c r="S24" s="72" t="s">
        <v>1451</v>
      </c>
    </row>
    <row r="25" spans="1:19" ht="17.25" customHeight="1">
      <c r="A25" s="299"/>
      <c r="B25" s="1431"/>
      <c r="C25" s="1142" t="s">
        <v>185</v>
      </c>
      <c r="D25" s="108"/>
      <c r="E25" s="108"/>
      <c r="F25" s="108"/>
      <c r="G25" s="108"/>
      <c r="H25" s="107" t="s">
        <v>114</v>
      </c>
      <c r="I25" s="1090" t="s">
        <v>104</v>
      </c>
      <c r="J25" s="107"/>
      <c r="K25" s="108"/>
      <c r="L25" s="132">
        <v>1</v>
      </c>
      <c r="M25" s="1086">
        <v>2</v>
      </c>
      <c r="N25" s="132">
        <v>9</v>
      </c>
      <c r="O25" s="110">
        <v>15000</v>
      </c>
      <c r="P25" s="1089">
        <f>O25*N25*L25</f>
        <v>135000</v>
      </c>
      <c r="Q25" s="356"/>
      <c r="R25" s="356"/>
      <c r="S25" s="72" t="s">
        <v>1452</v>
      </c>
    </row>
    <row r="26" spans="1:19" ht="17.25" customHeight="1">
      <c r="A26" s="299"/>
      <c r="B26" s="1431"/>
      <c r="C26" s="1122" t="s">
        <v>810</v>
      </c>
      <c r="D26" s="108"/>
      <c r="E26" s="108"/>
      <c r="F26" s="108"/>
      <c r="G26" s="108"/>
      <c r="H26" s="108"/>
      <c r="I26" s="108"/>
      <c r="J26" s="108"/>
      <c r="K26" s="108"/>
      <c r="L26" s="72"/>
      <c r="M26" s="108"/>
      <c r="N26" s="108"/>
      <c r="O26" s="108"/>
      <c r="P26" s="1085">
        <f>P27+P28+P32+P33+P34+P35+P40+P43+P44</f>
        <v>2410300</v>
      </c>
      <c r="Q26" s="356"/>
      <c r="R26" s="356"/>
      <c r="S26" s="72" t="s">
        <v>1453</v>
      </c>
    </row>
    <row r="27" spans="1:19" ht="17.25" customHeight="1">
      <c r="A27" s="299"/>
      <c r="B27" s="1431"/>
      <c r="C27" s="1122" t="s">
        <v>1454</v>
      </c>
      <c r="D27" s="108"/>
      <c r="E27" s="108"/>
      <c r="F27" s="108"/>
      <c r="G27" s="108"/>
      <c r="H27" s="108"/>
      <c r="I27" s="108"/>
      <c r="J27" s="108"/>
      <c r="K27" s="108"/>
      <c r="L27" s="118"/>
      <c r="M27" s="118"/>
      <c r="N27" s="118"/>
      <c r="O27" s="118"/>
      <c r="P27" s="109">
        <v>150000</v>
      </c>
      <c r="Q27" s="356"/>
      <c r="R27" s="356"/>
      <c r="S27" s="72" t="s">
        <v>1455</v>
      </c>
    </row>
    <row r="28" spans="1:19" ht="17.25" customHeight="1">
      <c r="A28" s="299"/>
      <c r="B28" s="1431"/>
      <c r="C28" s="1122" t="s">
        <v>1456</v>
      </c>
      <c r="D28" s="108"/>
      <c r="E28" s="108"/>
      <c r="F28" s="108"/>
      <c r="G28" s="108"/>
      <c r="H28" s="108"/>
      <c r="I28" s="108"/>
      <c r="J28" s="108"/>
      <c r="K28" s="108"/>
      <c r="L28" s="118"/>
      <c r="M28" s="118"/>
      <c r="N28" s="118"/>
      <c r="O28" s="118"/>
      <c r="P28" s="1085">
        <f>SUM(P29:P31)</f>
        <v>955200</v>
      </c>
      <c r="Q28" s="356"/>
      <c r="R28" s="356"/>
      <c r="S28" s="72" t="s">
        <v>1457</v>
      </c>
    </row>
    <row r="29" spans="1:19" ht="17.25" customHeight="1">
      <c r="A29" s="302"/>
      <c r="B29" s="1433"/>
      <c r="C29" s="1434" t="s">
        <v>1621</v>
      </c>
      <c r="D29" s="108"/>
      <c r="E29" s="108"/>
      <c r="F29" s="108"/>
      <c r="G29" s="108"/>
      <c r="H29" s="108"/>
      <c r="I29" s="108"/>
      <c r="J29" s="108"/>
      <c r="K29" s="108"/>
      <c r="L29" s="189"/>
      <c r="M29" s="189">
        <v>4</v>
      </c>
      <c r="N29" s="189">
        <v>120</v>
      </c>
      <c r="O29" s="189">
        <v>240</v>
      </c>
      <c r="P29" s="110">
        <f>O29*N29*M29</f>
        <v>115200</v>
      </c>
      <c r="Q29" s="356"/>
      <c r="R29" s="356"/>
      <c r="S29" s="72" t="s">
        <v>1458</v>
      </c>
    </row>
    <row r="30" spans="1:19" ht="17.25" customHeight="1">
      <c r="A30" s="302"/>
      <c r="B30" s="1433"/>
      <c r="C30" s="1142" t="s">
        <v>1619</v>
      </c>
      <c r="D30" s="108"/>
      <c r="E30" s="108"/>
      <c r="F30" s="108"/>
      <c r="G30" s="108"/>
      <c r="H30" s="108"/>
      <c r="I30" s="108"/>
      <c r="J30" s="108"/>
      <c r="K30" s="108"/>
      <c r="L30" s="189"/>
      <c r="M30" s="189">
        <v>4</v>
      </c>
      <c r="N30" s="189">
        <v>60</v>
      </c>
      <c r="O30" s="311">
        <v>1000</v>
      </c>
      <c r="P30" s="110">
        <f>O30*N30*M30</f>
        <v>240000</v>
      </c>
      <c r="Q30" s="356"/>
      <c r="R30" s="356"/>
      <c r="S30" s="72" t="s">
        <v>1459</v>
      </c>
    </row>
    <row r="31" spans="1:19" ht="17.25" customHeight="1">
      <c r="A31" s="302"/>
      <c r="B31" s="1433"/>
      <c r="C31" s="1142" t="s">
        <v>1620</v>
      </c>
      <c r="D31" s="108"/>
      <c r="E31" s="108"/>
      <c r="F31" s="108"/>
      <c r="G31" s="108"/>
      <c r="H31" s="108"/>
      <c r="I31" s="108"/>
      <c r="J31" s="108"/>
      <c r="K31" s="108"/>
      <c r="L31" s="189"/>
      <c r="M31" s="189">
        <v>2</v>
      </c>
      <c r="N31" s="189">
        <v>120</v>
      </c>
      <c r="O31" s="311">
        <v>2500</v>
      </c>
      <c r="P31" s="110">
        <f>O31*N31*M31</f>
        <v>600000</v>
      </c>
      <c r="Q31" s="356"/>
      <c r="R31" s="356"/>
      <c r="S31" s="72" t="s">
        <v>1461</v>
      </c>
    </row>
    <row r="32" spans="1:19" ht="17.25" customHeight="1">
      <c r="A32" s="299"/>
      <c r="B32" s="1431"/>
      <c r="C32" s="1122" t="s">
        <v>1460</v>
      </c>
      <c r="D32" s="108"/>
      <c r="E32" s="108"/>
      <c r="F32" s="108"/>
      <c r="G32" s="108"/>
      <c r="H32" s="108"/>
      <c r="I32" s="108"/>
      <c r="J32" s="108"/>
      <c r="K32" s="108"/>
      <c r="L32" s="118"/>
      <c r="M32" s="118">
        <v>1</v>
      </c>
      <c r="N32" s="118"/>
      <c r="O32" s="118"/>
      <c r="P32" s="109">
        <v>200000</v>
      </c>
      <c r="Q32" s="356"/>
      <c r="R32" s="356"/>
      <c r="S32" s="72" t="s">
        <v>1463</v>
      </c>
    </row>
    <row r="33" spans="1:19" ht="17.25" customHeight="1">
      <c r="A33" s="299"/>
      <c r="B33" s="1431"/>
      <c r="C33" s="1122" t="s">
        <v>1462</v>
      </c>
      <c r="D33" s="108"/>
      <c r="E33" s="108"/>
      <c r="F33" s="108"/>
      <c r="G33" s="108"/>
      <c r="H33" s="108"/>
      <c r="I33" s="108"/>
      <c r="J33" s="108"/>
      <c r="K33" s="108"/>
      <c r="L33" s="118"/>
      <c r="M33" s="118">
        <v>3</v>
      </c>
      <c r="N33" s="118"/>
      <c r="O33" s="118"/>
      <c r="P33" s="109">
        <v>35000</v>
      </c>
      <c r="Q33" s="359"/>
      <c r="R33" s="359"/>
      <c r="S33" s="72"/>
    </row>
    <row r="34" spans="1:19" ht="17.25" customHeight="1">
      <c r="A34" s="344"/>
      <c r="B34" s="1429"/>
      <c r="C34" s="1122" t="s">
        <v>1464</v>
      </c>
      <c r="D34" s="108"/>
      <c r="E34" s="108"/>
      <c r="F34" s="108"/>
      <c r="G34" s="108"/>
      <c r="H34" s="108"/>
      <c r="I34" s="108"/>
      <c r="J34" s="108"/>
      <c r="K34" s="108"/>
      <c r="L34" s="118"/>
      <c r="M34" s="118"/>
      <c r="N34" s="118">
        <v>300</v>
      </c>
      <c r="O34" s="118">
        <v>100</v>
      </c>
      <c r="P34" s="109">
        <f>O34*N34</f>
        <v>30000</v>
      </c>
      <c r="Q34" s="356"/>
      <c r="R34" s="356"/>
      <c r="S34" s="72"/>
    </row>
    <row r="35" spans="1:19" ht="17.25" customHeight="1">
      <c r="A35" s="299"/>
      <c r="B35" s="1431"/>
      <c r="C35" s="1122" t="s">
        <v>1465</v>
      </c>
      <c r="D35" s="108"/>
      <c r="E35" s="108"/>
      <c r="F35" s="108"/>
      <c r="G35" s="108"/>
      <c r="H35" s="108"/>
      <c r="I35" s="108"/>
      <c r="J35" s="108"/>
      <c r="K35" s="108"/>
      <c r="L35" s="118"/>
      <c r="M35" s="118"/>
      <c r="N35" s="118"/>
      <c r="O35" s="118"/>
      <c r="P35" s="1085">
        <f>SUM(P36:P39)</f>
        <v>37100</v>
      </c>
      <c r="Q35" s="316"/>
      <c r="R35" s="316"/>
      <c r="S35" s="185" t="s">
        <v>187</v>
      </c>
    </row>
    <row r="36" spans="1:19" ht="17.25" customHeight="1">
      <c r="A36" s="299"/>
      <c r="B36" s="1431"/>
      <c r="C36" s="1435" t="s">
        <v>1622</v>
      </c>
      <c r="D36" s="108"/>
      <c r="E36" s="108"/>
      <c r="F36" s="108"/>
      <c r="G36" s="108"/>
      <c r="H36" s="108"/>
      <c r="I36" s="108"/>
      <c r="J36" s="108"/>
      <c r="K36" s="108"/>
      <c r="L36" s="72"/>
      <c r="M36" s="72">
        <v>1</v>
      </c>
      <c r="N36" s="72">
        <v>6</v>
      </c>
      <c r="O36" s="72">
        <v>600</v>
      </c>
      <c r="P36" s="110">
        <f>O36*N36*M36</f>
        <v>3600</v>
      </c>
      <c r="Q36" s="321"/>
      <c r="R36" s="322"/>
      <c r="S36" s="72" t="s">
        <v>1471</v>
      </c>
    </row>
    <row r="37" spans="1:19" ht="17.25" customHeight="1">
      <c r="A37" s="302"/>
      <c r="B37" s="1433"/>
      <c r="C37" s="1434" t="s">
        <v>1466</v>
      </c>
      <c r="D37" s="108"/>
      <c r="E37" s="108"/>
      <c r="F37" s="108"/>
      <c r="G37" s="108"/>
      <c r="H37" s="108"/>
      <c r="I37" s="108"/>
      <c r="J37" s="108"/>
      <c r="K37" s="108"/>
      <c r="L37" s="72"/>
      <c r="M37" s="72"/>
      <c r="N37" s="72">
        <v>50</v>
      </c>
      <c r="O37" s="72">
        <v>500</v>
      </c>
      <c r="P37" s="110">
        <f>O37*N37</f>
        <v>25000</v>
      </c>
      <c r="Q37" s="266"/>
      <c r="R37" s="327"/>
      <c r="S37" s="72" t="s">
        <v>1473</v>
      </c>
    </row>
    <row r="38" spans="1:19" ht="17.25" customHeight="1">
      <c r="A38" s="302"/>
      <c r="B38" s="1433"/>
      <c r="C38" s="1434" t="s">
        <v>1467</v>
      </c>
      <c r="D38" s="108"/>
      <c r="E38" s="108"/>
      <c r="F38" s="108"/>
      <c r="G38" s="108"/>
      <c r="H38" s="108"/>
      <c r="I38" s="108"/>
      <c r="J38" s="108"/>
      <c r="K38" s="108"/>
      <c r="L38" s="72"/>
      <c r="M38" s="72"/>
      <c r="N38" s="72">
        <v>50</v>
      </c>
      <c r="O38" s="72">
        <v>100</v>
      </c>
      <c r="P38" s="110">
        <f>O38*N38</f>
        <v>5000</v>
      </c>
      <c r="Q38" s="328"/>
      <c r="R38" s="328"/>
      <c r="S38" s="72" t="s">
        <v>1475</v>
      </c>
    </row>
    <row r="39" spans="1:19" ht="17.25" customHeight="1">
      <c r="A39" s="302"/>
      <c r="B39" s="1433"/>
      <c r="C39" s="1434" t="s">
        <v>1468</v>
      </c>
      <c r="D39" s="108"/>
      <c r="E39" s="108"/>
      <c r="F39" s="108"/>
      <c r="G39" s="108"/>
      <c r="H39" s="108"/>
      <c r="I39" s="108"/>
      <c r="J39" s="108"/>
      <c r="K39" s="108"/>
      <c r="L39" s="72"/>
      <c r="M39" s="72"/>
      <c r="N39" s="72">
        <v>50</v>
      </c>
      <c r="O39" s="72">
        <v>70</v>
      </c>
      <c r="P39" s="72">
        <f>O39*N39</f>
        <v>3500</v>
      </c>
      <c r="Q39" s="328"/>
      <c r="R39" s="328"/>
      <c r="S39" s="72" t="s">
        <v>1477</v>
      </c>
    </row>
    <row r="40" spans="1:19" ht="17.25" customHeight="1">
      <c r="A40" s="302"/>
      <c r="B40" s="1433"/>
      <c r="C40" s="1122" t="s">
        <v>1469</v>
      </c>
      <c r="D40" s="108"/>
      <c r="E40" s="108"/>
      <c r="F40" s="108"/>
      <c r="G40" s="108"/>
      <c r="H40" s="108"/>
      <c r="I40" s="108"/>
      <c r="J40" s="108"/>
      <c r="K40" s="108"/>
      <c r="L40" s="118"/>
      <c r="M40" s="118"/>
      <c r="N40" s="118"/>
      <c r="O40" s="118"/>
      <c r="P40" s="1085">
        <f>SUM(P41:P42)</f>
        <v>670000</v>
      </c>
      <c r="Q40" s="327"/>
      <c r="R40" s="327"/>
      <c r="S40" s="72" t="s">
        <v>1479</v>
      </c>
    </row>
    <row r="41" spans="1:19" ht="17.25" customHeight="1">
      <c r="A41" s="302"/>
      <c r="B41" s="1433"/>
      <c r="C41" s="1434" t="s">
        <v>1470</v>
      </c>
      <c r="D41" s="108"/>
      <c r="E41" s="108"/>
      <c r="F41" s="108"/>
      <c r="G41" s="108"/>
      <c r="H41" s="108"/>
      <c r="I41" s="108"/>
      <c r="J41" s="108"/>
      <c r="K41" s="108"/>
      <c r="L41" s="72"/>
      <c r="M41" s="72">
        <v>2</v>
      </c>
      <c r="N41" s="72">
        <v>500</v>
      </c>
      <c r="O41" s="72">
        <v>600</v>
      </c>
      <c r="P41" s="110">
        <f>O41*N41*M41</f>
        <v>600000</v>
      </c>
      <c r="Q41" s="328"/>
      <c r="R41" s="984"/>
      <c r="S41" s="72" t="s">
        <v>1481</v>
      </c>
    </row>
    <row r="42" spans="1:19" ht="17.25" customHeight="1">
      <c r="A42" s="302"/>
      <c r="B42" s="1433"/>
      <c r="C42" s="1434" t="s">
        <v>1472</v>
      </c>
      <c r="D42" s="108"/>
      <c r="E42" s="108"/>
      <c r="F42" s="108"/>
      <c r="G42" s="108"/>
      <c r="H42" s="108"/>
      <c r="I42" s="108"/>
      <c r="J42" s="108"/>
      <c r="K42" s="108"/>
      <c r="L42" s="72"/>
      <c r="M42" s="72"/>
      <c r="N42" s="110">
        <v>1000</v>
      </c>
      <c r="O42" s="72">
        <v>70</v>
      </c>
      <c r="P42" s="110">
        <f>O42*N42</f>
        <v>70000</v>
      </c>
      <c r="Q42" s="328"/>
      <c r="R42" s="328"/>
      <c r="S42" s="72" t="s">
        <v>1483</v>
      </c>
    </row>
    <row r="43" spans="1:19" ht="17.25" customHeight="1">
      <c r="A43" s="302"/>
      <c r="B43" s="1433"/>
      <c r="C43" s="1122" t="s">
        <v>1474</v>
      </c>
      <c r="D43" s="108"/>
      <c r="E43" s="108"/>
      <c r="F43" s="108"/>
      <c r="G43" s="108"/>
      <c r="H43" s="108"/>
      <c r="I43" s="108"/>
      <c r="J43" s="108"/>
      <c r="K43" s="108"/>
      <c r="L43" s="118"/>
      <c r="M43" s="118"/>
      <c r="N43" s="118"/>
      <c r="O43" s="118"/>
      <c r="P43" s="110">
        <v>300000</v>
      </c>
      <c r="Q43" s="328"/>
      <c r="R43" s="328"/>
      <c r="S43" s="72" t="s">
        <v>1485</v>
      </c>
    </row>
    <row r="44" spans="1:19" ht="17.25" customHeight="1">
      <c r="A44" s="302"/>
      <c r="B44" s="1433"/>
      <c r="C44" s="1122" t="s">
        <v>1476</v>
      </c>
      <c r="D44" s="108"/>
      <c r="E44" s="108"/>
      <c r="F44" s="108"/>
      <c r="G44" s="108"/>
      <c r="H44" s="108"/>
      <c r="I44" s="108"/>
      <c r="J44" s="108"/>
      <c r="K44" s="108"/>
      <c r="L44" s="118"/>
      <c r="M44" s="118"/>
      <c r="N44" s="118"/>
      <c r="O44" s="118"/>
      <c r="P44" s="1085">
        <f>SUM(P45:P48)</f>
        <v>33000</v>
      </c>
      <c r="Q44" s="328"/>
      <c r="R44" s="328"/>
      <c r="S44" s="72" t="s">
        <v>1486</v>
      </c>
    </row>
    <row r="45" spans="1:19" ht="17.25" customHeight="1">
      <c r="A45" s="302"/>
      <c r="B45" s="1433"/>
      <c r="C45" s="1434" t="s">
        <v>1478</v>
      </c>
      <c r="D45" s="108"/>
      <c r="E45" s="108"/>
      <c r="F45" s="108"/>
      <c r="G45" s="108"/>
      <c r="H45" s="108"/>
      <c r="I45" s="108"/>
      <c r="J45" s="108"/>
      <c r="K45" s="108"/>
      <c r="L45" s="72"/>
      <c r="M45" s="72"/>
      <c r="N45" s="72">
        <v>10</v>
      </c>
      <c r="O45" s="72">
        <v>500</v>
      </c>
      <c r="P45" s="110">
        <f>O45*N45</f>
        <v>5000</v>
      </c>
      <c r="Q45" s="328"/>
      <c r="R45" s="328"/>
      <c r="S45" s="72" t="s">
        <v>1488</v>
      </c>
    </row>
    <row r="46" spans="1:19" ht="17.25" customHeight="1">
      <c r="A46" s="302"/>
      <c r="B46" s="1433"/>
      <c r="C46" s="1434" t="s">
        <v>1480</v>
      </c>
      <c r="D46" s="108"/>
      <c r="E46" s="108"/>
      <c r="F46" s="108"/>
      <c r="G46" s="108"/>
      <c r="H46" s="108"/>
      <c r="I46" s="108"/>
      <c r="J46" s="108"/>
      <c r="K46" s="108"/>
      <c r="L46" s="72"/>
      <c r="M46" s="72"/>
      <c r="N46" s="72">
        <v>10</v>
      </c>
      <c r="O46" s="72">
        <v>500</v>
      </c>
      <c r="P46" s="110">
        <f>O46*N46</f>
        <v>5000</v>
      </c>
      <c r="Q46" s="986"/>
      <c r="R46" s="987"/>
      <c r="S46" s="72" t="s">
        <v>1490</v>
      </c>
    </row>
    <row r="47" spans="1:19" ht="17.25" customHeight="1">
      <c r="A47" s="302"/>
      <c r="B47" s="1433"/>
      <c r="C47" s="1434" t="s">
        <v>1482</v>
      </c>
      <c r="D47" s="108"/>
      <c r="E47" s="108"/>
      <c r="F47" s="108"/>
      <c r="G47" s="108"/>
      <c r="H47" s="108"/>
      <c r="I47" s="108"/>
      <c r="J47" s="108"/>
      <c r="K47" s="108"/>
      <c r="L47" s="72"/>
      <c r="M47" s="72"/>
      <c r="N47" s="72">
        <v>10</v>
      </c>
      <c r="O47" s="72">
        <v>800</v>
      </c>
      <c r="P47" s="110">
        <f>O47*N47</f>
        <v>8000</v>
      </c>
      <c r="Q47" s="331"/>
      <c r="R47" s="331"/>
      <c r="S47" s="72" t="s">
        <v>1492</v>
      </c>
    </row>
    <row r="48" spans="1:19" ht="17.25" customHeight="1">
      <c r="A48" s="302"/>
      <c r="B48" s="1433"/>
      <c r="C48" s="1434" t="s">
        <v>1484</v>
      </c>
      <c r="D48" s="108"/>
      <c r="E48" s="108"/>
      <c r="F48" s="108"/>
      <c r="G48" s="108"/>
      <c r="H48" s="108"/>
      <c r="I48" s="108"/>
      <c r="J48" s="108"/>
      <c r="K48" s="108"/>
      <c r="L48" s="72"/>
      <c r="M48" s="72"/>
      <c r="N48" s="72">
        <v>15</v>
      </c>
      <c r="O48" s="110">
        <v>1000</v>
      </c>
      <c r="P48" s="110">
        <f>O48*N48</f>
        <v>15000</v>
      </c>
      <c r="Q48" s="332"/>
      <c r="R48" s="332"/>
      <c r="S48" s="72" t="s">
        <v>1494</v>
      </c>
    </row>
    <row r="49" spans="1:19" ht="17.25" customHeight="1">
      <c r="A49" s="302"/>
      <c r="B49" s="1433"/>
      <c r="C49" s="1122" t="s">
        <v>217</v>
      </c>
      <c r="D49" s="108"/>
      <c r="E49" s="108"/>
      <c r="F49" s="108"/>
      <c r="G49" s="108"/>
      <c r="H49" s="108"/>
      <c r="I49" s="108"/>
      <c r="J49" s="108"/>
      <c r="K49" s="108"/>
      <c r="L49" s="72"/>
      <c r="M49" s="72"/>
      <c r="N49" s="72"/>
      <c r="O49" s="72"/>
      <c r="P49" s="1085">
        <f>P50+P57+P64</f>
        <v>654000</v>
      </c>
      <c r="Q49" s="334"/>
      <c r="R49" s="334"/>
      <c r="S49" s="72" t="s">
        <v>1496</v>
      </c>
    </row>
    <row r="50" spans="1:19" ht="17.25" customHeight="1">
      <c r="A50" s="302"/>
      <c r="B50" s="1433"/>
      <c r="C50" s="1122" t="s">
        <v>1487</v>
      </c>
      <c r="D50" s="108"/>
      <c r="E50" s="108"/>
      <c r="F50" s="108"/>
      <c r="G50" s="108"/>
      <c r="H50" s="108"/>
      <c r="I50" s="108"/>
      <c r="J50" s="108"/>
      <c r="K50" s="108"/>
      <c r="L50" s="118"/>
      <c r="M50" s="118"/>
      <c r="N50" s="118"/>
      <c r="O50" s="118"/>
      <c r="P50" s="1085">
        <f>SUM(P51:P56)</f>
        <v>468720</v>
      </c>
      <c r="Q50" s="328"/>
      <c r="R50" s="328"/>
      <c r="S50" s="72" t="s">
        <v>1498</v>
      </c>
    </row>
    <row r="51" spans="1:19" ht="17.25" customHeight="1">
      <c r="A51" s="302"/>
      <c r="B51" s="1433"/>
      <c r="C51" s="1434" t="s">
        <v>1489</v>
      </c>
      <c r="D51" s="108"/>
      <c r="E51" s="108"/>
      <c r="F51" s="108"/>
      <c r="G51" s="108"/>
      <c r="H51" s="108"/>
      <c r="I51" s="108"/>
      <c r="J51" s="108"/>
      <c r="K51" s="108"/>
      <c r="L51" s="72"/>
      <c r="M51" s="72">
        <v>5</v>
      </c>
      <c r="N51" s="72">
        <v>84</v>
      </c>
      <c r="O51" s="72">
        <v>240</v>
      </c>
      <c r="P51" s="110">
        <f>O51*N51*M51</f>
        <v>100800</v>
      </c>
      <c r="Q51" s="331"/>
      <c r="R51" s="331"/>
      <c r="S51" s="72" t="s">
        <v>1500</v>
      </c>
    </row>
    <row r="52" spans="1:19" ht="17.25" customHeight="1">
      <c r="A52" s="302"/>
      <c r="B52" s="1433"/>
      <c r="C52" s="1434" t="s">
        <v>1491</v>
      </c>
      <c r="D52" s="108"/>
      <c r="E52" s="108"/>
      <c r="F52" s="108"/>
      <c r="G52" s="108"/>
      <c r="H52" s="108"/>
      <c r="I52" s="108"/>
      <c r="J52" s="108"/>
      <c r="K52" s="108"/>
      <c r="L52" s="72"/>
      <c r="M52" s="72">
        <v>2</v>
      </c>
      <c r="N52" s="72">
        <v>84</v>
      </c>
      <c r="O52" s="72">
        <v>240</v>
      </c>
      <c r="P52" s="110">
        <f t="shared" ref="P52:P54" si="0">O52*N52*M52</f>
        <v>40320</v>
      </c>
      <c r="Q52" s="331"/>
      <c r="R52" s="331"/>
      <c r="S52" s="72"/>
    </row>
    <row r="53" spans="1:19" ht="17.25" customHeight="1">
      <c r="A53" s="302"/>
      <c r="B53" s="1433"/>
      <c r="C53" s="1434" t="s">
        <v>1493</v>
      </c>
      <c r="D53" s="108"/>
      <c r="E53" s="108"/>
      <c r="F53" s="108"/>
      <c r="G53" s="108"/>
      <c r="H53" s="108"/>
      <c r="I53" s="108"/>
      <c r="J53" s="108"/>
      <c r="K53" s="108"/>
      <c r="L53" s="72"/>
      <c r="M53" s="72">
        <v>5</v>
      </c>
      <c r="N53" s="72">
        <v>42</v>
      </c>
      <c r="O53" s="72">
        <v>800</v>
      </c>
      <c r="P53" s="110">
        <f>O53*N53*M53</f>
        <v>168000</v>
      </c>
      <c r="Q53" s="336"/>
      <c r="R53" s="336"/>
      <c r="S53" s="72"/>
    </row>
    <row r="54" spans="1:19" ht="17.25" customHeight="1">
      <c r="A54" s="302"/>
      <c r="B54" s="1433"/>
      <c r="C54" s="1434" t="s">
        <v>1495</v>
      </c>
      <c r="D54" s="108"/>
      <c r="E54" s="108"/>
      <c r="F54" s="108"/>
      <c r="G54" s="108"/>
      <c r="H54" s="108"/>
      <c r="I54" s="108"/>
      <c r="J54" s="108"/>
      <c r="K54" s="108"/>
      <c r="L54" s="72"/>
      <c r="M54" s="72">
        <v>2</v>
      </c>
      <c r="N54" s="72">
        <v>42</v>
      </c>
      <c r="O54" s="72">
        <v>800</v>
      </c>
      <c r="P54" s="110">
        <f t="shared" si="0"/>
        <v>67200</v>
      </c>
      <c r="Q54" s="328"/>
      <c r="R54" s="328"/>
      <c r="S54" s="72"/>
    </row>
    <row r="55" spans="1:19" ht="17.25" customHeight="1">
      <c r="A55" s="302"/>
      <c r="B55" s="1433"/>
      <c r="C55" s="1434" t="s">
        <v>1497</v>
      </c>
      <c r="D55" s="108"/>
      <c r="E55" s="108"/>
      <c r="F55" s="108"/>
      <c r="G55" s="108"/>
      <c r="H55" s="108"/>
      <c r="I55" s="108"/>
      <c r="J55" s="108"/>
      <c r="K55" s="108"/>
      <c r="L55" s="72"/>
      <c r="M55" s="72">
        <v>2</v>
      </c>
      <c r="N55" s="72">
        <v>84</v>
      </c>
      <c r="O55" s="72">
        <v>300</v>
      </c>
      <c r="P55" s="110">
        <f>O55*N55*M55</f>
        <v>50400</v>
      </c>
      <c r="Q55" s="328"/>
      <c r="R55" s="328"/>
      <c r="S55" s="72"/>
    </row>
    <row r="56" spans="1:19" ht="17.25" customHeight="1">
      <c r="A56" s="302"/>
      <c r="B56" s="1433"/>
      <c r="C56" s="1434" t="s">
        <v>1499</v>
      </c>
      <c r="D56" s="108"/>
      <c r="E56" s="108"/>
      <c r="F56" s="108"/>
      <c r="G56" s="108"/>
      <c r="H56" s="108"/>
      <c r="I56" s="108"/>
      <c r="J56" s="108"/>
      <c r="K56" s="108"/>
      <c r="L56" s="72"/>
      <c r="M56" s="72">
        <v>7</v>
      </c>
      <c r="N56" s="72">
        <v>24</v>
      </c>
      <c r="O56" s="72">
        <v>250</v>
      </c>
      <c r="P56" s="110">
        <f>O56*N56*M56</f>
        <v>42000</v>
      </c>
      <c r="Q56" s="327"/>
      <c r="R56" s="327"/>
      <c r="S56" s="72"/>
    </row>
    <row r="57" spans="1:19" ht="17.25" customHeight="1">
      <c r="A57" s="302"/>
      <c r="B57" s="1433"/>
      <c r="C57" s="1122" t="s">
        <v>1501</v>
      </c>
      <c r="D57" s="108"/>
      <c r="E57" s="108"/>
      <c r="F57" s="108"/>
      <c r="G57" s="108"/>
      <c r="H57" s="108"/>
      <c r="I57" s="108"/>
      <c r="J57" s="108"/>
      <c r="K57" s="108"/>
      <c r="L57" s="118"/>
      <c r="M57" s="118"/>
      <c r="N57" s="118"/>
      <c r="O57" s="118"/>
      <c r="P57" s="1085">
        <f>SUM(P58:P63)</f>
        <v>181800</v>
      </c>
      <c r="Q57" s="336"/>
      <c r="R57" s="336"/>
      <c r="S57" s="72"/>
    </row>
    <row r="58" spans="1:19" ht="17.25" customHeight="1">
      <c r="A58" s="302"/>
      <c r="B58" s="1433"/>
      <c r="C58" s="1434" t="s">
        <v>1502</v>
      </c>
      <c r="D58" s="108"/>
      <c r="E58" s="108"/>
      <c r="F58" s="108"/>
      <c r="G58" s="108"/>
      <c r="H58" s="108"/>
      <c r="I58" s="108"/>
      <c r="J58" s="108"/>
      <c r="K58" s="108"/>
      <c r="L58" s="72"/>
      <c r="M58" s="72">
        <v>2</v>
      </c>
      <c r="N58" s="72">
        <v>60</v>
      </c>
      <c r="O58" s="72">
        <v>600</v>
      </c>
      <c r="P58" s="110">
        <f>O58*N58*M58</f>
        <v>72000</v>
      </c>
      <c r="Q58" s="328"/>
      <c r="R58" s="328"/>
      <c r="S58" s="72"/>
    </row>
    <row r="59" spans="1:19" ht="17.25" customHeight="1">
      <c r="A59" s="302"/>
      <c r="B59" s="1433"/>
      <c r="C59" s="1434" t="s">
        <v>1503</v>
      </c>
      <c r="D59" s="108"/>
      <c r="E59" s="108"/>
      <c r="F59" s="108"/>
      <c r="G59" s="108"/>
      <c r="H59" s="108"/>
      <c r="I59" s="108"/>
      <c r="J59" s="108"/>
      <c r="K59" s="108"/>
      <c r="L59" s="72"/>
      <c r="M59" s="72"/>
      <c r="N59" s="72">
        <v>30</v>
      </c>
      <c r="O59" s="110">
        <v>1200</v>
      </c>
      <c r="P59" s="110">
        <f>O59*N59</f>
        <v>36000</v>
      </c>
      <c r="Q59" s="328"/>
      <c r="R59" s="328"/>
      <c r="S59" s="72"/>
    </row>
    <row r="60" spans="1:19" ht="17.25" customHeight="1">
      <c r="A60" s="302"/>
      <c r="B60" s="1433"/>
      <c r="C60" s="1434" t="s">
        <v>1504</v>
      </c>
      <c r="D60" s="108"/>
      <c r="E60" s="108"/>
      <c r="F60" s="108"/>
      <c r="G60" s="108"/>
      <c r="H60" s="108"/>
      <c r="I60" s="108"/>
      <c r="J60" s="108"/>
      <c r="K60" s="108"/>
      <c r="L60" s="72"/>
      <c r="M60" s="72"/>
      <c r="N60" s="72">
        <v>2</v>
      </c>
      <c r="O60" s="110">
        <v>13400</v>
      </c>
      <c r="P60" s="110">
        <f>O60*N60</f>
        <v>26800</v>
      </c>
      <c r="Q60" s="328"/>
      <c r="R60" s="328"/>
      <c r="S60" s="72"/>
    </row>
    <row r="61" spans="1:19" ht="17.25" customHeight="1">
      <c r="A61" s="302"/>
      <c r="B61" s="302"/>
      <c r="C61" s="1434" t="s">
        <v>1505</v>
      </c>
      <c r="D61" s="108"/>
      <c r="E61" s="108"/>
      <c r="F61" s="108"/>
      <c r="G61" s="108"/>
      <c r="H61" s="108"/>
      <c r="I61" s="108"/>
      <c r="J61" s="108"/>
      <c r="K61" s="108"/>
      <c r="L61" s="72"/>
      <c r="M61" s="72"/>
      <c r="N61" s="72">
        <v>2</v>
      </c>
      <c r="O61" s="110">
        <v>7000</v>
      </c>
      <c r="P61" s="110">
        <f>O61*N61</f>
        <v>14000</v>
      </c>
      <c r="Q61" s="328"/>
      <c r="R61" s="328"/>
      <c r="S61" s="951"/>
    </row>
    <row r="62" spans="1:19" ht="17.25" customHeight="1">
      <c r="A62" s="302"/>
      <c r="B62" s="302"/>
      <c r="C62" s="1434" t="s">
        <v>1506</v>
      </c>
      <c r="D62" s="108"/>
      <c r="E62" s="108"/>
      <c r="F62" s="108"/>
      <c r="G62" s="108"/>
      <c r="H62" s="108"/>
      <c r="I62" s="108"/>
      <c r="J62" s="108"/>
      <c r="K62" s="108"/>
      <c r="L62" s="72"/>
      <c r="M62" s="72">
        <v>1</v>
      </c>
      <c r="N62" s="72">
        <v>5</v>
      </c>
      <c r="O62" s="72">
        <v>600</v>
      </c>
      <c r="P62" s="110">
        <f>O62*N62*M62</f>
        <v>3000</v>
      </c>
      <c r="Q62" s="328"/>
      <c r="R62" s="328"/>
      <c r="S62" s="1169"/>
    </row>
    <row r="63" spans="1:19" ht="17.25" customHeight="1">
      <c r="A63" s="302"/>
      <c r="B63" s="302"/>
      <c r="C63" s="1434" t="s">
        <v>1507</v>
      </c>
      <c r="D63" s="108"/>
      <c r="E63" s="108"/>
      <c r="F63" s="108"/>
      <c r="G63" s="108"/>
      <c r="H63" s="108"/>
      <c r="I63" s="108"/>
      <c r="J63" s="108"/>
      <c r="K63" s="108"/>
      <c r="L63" s="72"/>
      <c r="M63" s="72">
        <v>5</v>
      </c>
      <c r="N63" s="72">
        <v>5</v>
      </c>
      <c r="O63" s="110">
        <v>1200</v>
      </c>
      <c r="P63" s="110">
        <f>O63*N63*M63</f>
        <v>30000</v>
      </c>
      <c r="Q63" s="328"/>
      <c r="R63" s="328"/>
      <c r="S63" s="72"/>
    </row>
    <row r="64" spans="1:19" ht="17.25" customHeight="1">
      <c r="A64" s="1096"/>
      <c r="B64" s="1096"/>
      <c r="C64" s="1122" t="s">
        <v>1508</v>
      </c>
      <c r="D64" s="108"/>
      <c r="E64" s="108"/>
      <c r="F64" s="108"/>
      <c r="G64" s="108"/>
      <c r="H64" s="108"/>
      <c r="I64" s="108"/>
      <c r="J64" s="108"/>
      <c r="K64" s="108"/>
      <c r="L64" s="118"/>
      <c r="M64" s="118"/>
      <c r="N64" s="118"/>
      <c r="O64" s="118"/>
      <c r="P64" s="109">
        <v>3480</v>
      </c>
      <c r="Q64" s="327"/>
      <c r="R64" s="327"/>
      <c r="S64" s="72"/>
    </row>
    <row r="65" spans="1:19" ht="17.25" customHeight="1">
      <c r="A65" s="303"/>
      <c r="B65" s="303"/>
      <c r="C65" s="204"/>
      <c r="D65" s="204"/>
      <c r="E65" s="204"/>
      <c r="F65" s="204"/>
      <c r="Q65" s="1121"/>
      <c r="R65" s="1121"/>
    </row>
    <row r="66" spans="1:19" s="1173" customFormat="1">
      <c r="C66" s="347" t="s">
        <v>171</v>
      </c>
      <c r="D66" s="29" t="s">
        <v>172</v>
      </c>
      <c r="E66" s="29"/>
      <c r="F66" s="2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173" customFormat="1">
      <c r="D67" s="1173" t="s">
        <v>466</v>
      </c>
      <c r="S67" s="1"/>
    </row>
  </sheetData>
  <mergeCells count="17">
    <mergeCell ref="C2:S2"/>
    <mergeCell ref="C7:C11"/>
    <mergeCell ref="D7:E8"/>
    <mergeCell ref="F7:G8"/>
    <mergeCell ref="H7:P7"/>
    <mergeCell ref="S7:S11"/>
    <mergeCell ref="H8:H11"/>
    <mergeCell ref="I8:K10"/>
    <mergeCell ref="L8:L11"/>
    <mergeCell ref="M8:M11"/>
    <mergeCell ref="N8:N11"/>
    <mergeCell ref="O8:O11"/>
    <mergeCell ref="P8:P11"/>
    <mergeCell ref="A7:B10"/>
    <mergeCell ref="C3:S3"/>
    <mergeCell ref="Q8:Q11"/>
    <mergeCell ref="R8:R11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63"/>
  <sheetViews>
    <sheetView topLeftCell="A3" zoomScale="140" zoomScaleNormal="140" zoomScaleSheetLayoutView="110" workbookViewId="0">
      <selection activeCell="M13" sqref="M13"/>
    </sheetView>
  </sheetViews>
  <sheetFormatPr defaultRowHeight="18.75"/>
  <cols>
    <col min="1" max="1" width="4.5" style="286" customWidth="1"/>
    <col min="2" max="2" width="5" style="286" customWidth="1"/>
    <col min="3" max="3" width="33.5" style="1" customWidth="1"/>
    <col min="4" max="4" width="8.125" style="1" customWidth="1"/>
    <col min="5" max="5" width="7" style="1" customWidth="1"/>
    <col min="6" max="6" width="6.125" style="1" customWidth="1"/>
    <col min="7" max="7" width="7.875" style="1" customWidth="1"/>
    <col min="8" max="8" width="8.125" style="1" customWidth="1"/>
    <col min="9" max="9" width="7.125" style="1" customWidth="1"/>
    <col min="10" max="10" width="5.625" style="1" customWidth="1"/>
    <col min="11" max="11" width="6.25" style="1" customWidth="1"/>
    <col min="12" max="15" width="7.75" style="1" customWidth="1"/>
    <col min="16" max="16" width="9.125" style="1" customWidth="1"/>
    <col min="17" max="17" width="7.75" style="1116" customWidth="1"/>
    <col min="18" max="18" width="7.625" style="1116" customWidth="1"/>
    <col min="19" max="19" width="24.25" style="1" customWidth="1"/>
    <col min="20" max="16384" width="9" style="1"/>
  </cols>
  <sheetData>
    <row r="1" spans="1:20" ht="17.25" customHeight="1">
      <c r="Q1" s="30"/>
      <c r="R1" s="30"/>
    </row>
    <row r="2" spans="1:20" ht="24.75">
      <c r="A2" s="1772" t="s">
        <v>1561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  <c r="R2" s="1772"/>
      <c r="S2" s="1772"/>
    </row>
    <row r="3" spans="1:20" ht="24.75">
      <c r="A3" s="1570" t="s">
        <v>85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  <c r="T3" s="157"/>
    </row>
    <row r="4" spans="1:20" s="39" customFormat="1" ht="21.75">
      <c r="A4" s="287" t="s">
        <v>0</v>
      </c>
      <c r="B4" s="287"/>
      <c r="C4" s="40"/>
      <c r="D4" s="40"/>
      <c r="E4" s="40"/>
      <c r="F4" s="40"/>
      <c r="Q4" s="290"/>
      <c r="R4" s="290"/>
    </row>
    <row r="5" spans="1:20" s="39" customFormat="1" ht="21.75">
      <c r="A5" s="287" t="s">
        <v>1</v>
      </c>
      <c r="B5" s="287"/>
      <c r="C5" s="40"/>
      <c r="Q5" s="290"/>
      <c r="R5" s="290"/>
    </row>
    <row r="6" spans="1:20" ht="21.75">
      <c r="Q6" s="290"/>
      <c r="R6" s="290"/>
      <c r="S6" s="83" t="s">
        <v>254</v>
      </c>
    </row>
    <row r="7" spans="1:20" s="451" customFormat="1" ht="17.25" customHeight="1">
      <c r="A7" s="1587" t="s">
        <v>87</v>
      </c>
      <c r="B7" s="1588"/>
      <c r="C7" s="1577" t="s">
        <v>88</v>
      </c>
      <c r="D7" s="1612" t="s">
        <v>15</v>
      </c>
      <c r="E7" s="1613"/>
      <c r="F7" s="1612" t="s">
        <v>28</v>
      </c>
      <c r="G7" s="1613"/>
      <c r="H7" s="1616" t="s">
        <v>63</v>
      </c>
      <c r="I7" s="1616"/>
      <c r="J7" s="1616"/>
      <c r="K7" s="1616"/>
      <c r="L7" s="1616"/>
      <c r="M7" s="1616"/>
      <c r="N7" s="1616"/>
      <c r="O7" s="1616"/>
      <c r="P7" s="1616"/>
      <c r="Q7" s="86"/>
      <c r="R7" s="86"/>
      <c r="S7" s="1577" t="s">
        <v>91</v>
      </c>
    </row>
    <row r="8" spans="1:20" s="451" customFormat="1" ht="17.25" customHeight="1">
      <c r="A8" s="1753"/>
      <c r="B8" s="1754"/>
      <c r="C8" s="1583"/>
      <c r="D8" s="1614"/>
      <c r="E8" s="1615"/>
      <c r="F8" s="1614"/>
      <c r="G8" s="1615"/>
      <c r="H8" s="1619" t="s">
        <v>76</v>
      </c>
      <c r="I8" s="1619" t="s">
        <v>77</v>
      </c>
      <c r="J8" s="1619"/>
      <c r="K8" s="1619"/>
      <c r="L8" s="1583" t="s">
        <v>175</v>
      </c>
      <c r="M8" s="1583" t="s">
        <v>1734</v>
      </c>
      <c r="N8" s="1583" t="s">
        <v>93</v>
      </c>
      <c r="O8" s="1583" t="s">
        <v>94</v>
      </c>
      <c r="P8" s="1583" t="s">
        <v>718</v>
      </c>
      <c r="Q8" s="1619" t="s">
        <v>89</v>
      </c>
      <c r="R8" s="1619" t="s">
        <v>90</v>
      </c>
      <c r="S8" s="1583"/>
    </row>
    <row r="9" spans="1:20" s="451" customFormat="1" ht="17.25" customHeight="1">
      <c r="A9" s="1589"/>
      <c r="B9" s="1590"/>
      <c r="C9" s="1583"/>
      <c r="D9" s="88" t="s">
        <v>4</v>
      </c>
      <c r="E9" s="88" t="s">
        <v>5</v>
      </c>
      <c r="F9" s="88" t="s">
        <v>4</v>
      </c>
      <c r="G9" s="88" t="s">
        <v>6</v>
      </c>
      <c r="H9" s="1619"/>
      <c r="I9" s="1619"/>
      <c r="J9" s="1619"/>
      <c r="K9" s="1619"/>
      <c r="L9" s="1583" t="s">
        <v>95</v>
      </c>
      <c r="M9" s="1583"/>
      <c r="N9" s="1583"/>
      <c r="O9" s="1583"/>
      <c r="P9" s="1583"/>
      <c r="Q9" s="1619"/>
      <c r="R9" s="1619"/>
      <c r="S9" s="1583"/>
    </row>
    <row r="10" spans="1:20" s="451" customFormat="1" ht="24" customHeight="1">
      <c r="A10" s="86" t="s">
        <v>96</v>
      </c>
      <c r="B10" s="86" t="s">
        <v>97</v>
      </c>
      <c r="C10" s="1578"/>
      <c r="D10" s="1091"/>
      <c r="E10" s="1091"/>
      <c r="F10" s="1091"/>
      <c r="G10" s="446"/>
      <c r="H10" s="1619"/>
      <c r="I10" s="449" t="s">
        <v>78</v>
      </c>
      <c r="J10" s="449" t="s">
        <v>79</v>
      </c>
      <c r="K10" s="449" t="s">
        <v>80</v>
      </c>
      <c r="L10" s="1578" t="s">
        <v>719</v>
      </c>
      <c r="M10" s="1578"/>
      <c r="N10" s="1578"/>
      <c r="O10" s="1578"/>
      <c r="P10" s="1578"/>
      <c r="Q10" s="1619"/>
      <c r="R10" s="1619"/>
      <c r="S10" s="1578"/>
    </row>
    <row r="11" spans="1:20" s="383" customFormat="1" ht="16.5" thickBot="1">
      <c r="A11" s="93"/>
      <c r="B11" s="93"/>
      <c r="C11" s="93" t="s">
        <v>11</v>
      </c>
      <c r="D11" s="93"/>
      <c r="E11" s="93"/>
      <c r="F11" s="93"/>
      <c r="G11" s="380"/>
      <c r="H11" s="380"/>
      <c r="I11" s="380"/>
      <c r="J11" s="380"/>
      <c r="K11" s="380"/>
      <c r="L11" s="380"/>
      <c r="M11" s="380"/>
      <c r="N11" s="380"/>
      <c r="O11" s="380"/>
      <c r="P11" s="1083">
        <f>P17+P26+P54</f>
        <v>5240200</v>
      </c>
      <c r="Q11" s="97"/>
      <c r="R11" s="97"/>
      <c r="S11" s="1083"/>
    </row>
    <row r="12" spans="1:20" s="507" customFormat="1" ht="20.25" customHeight="1" thickTop="1">
      <c r="A12" s="502"/>
      <c r="B12" s="502"/>
      <c r="C12" s="971" t="s">
        <v>817</v>
      </c>
      <c r="D12" s="504"/>
      <c r="E12" s="504"/>
      <c r="F12" s="504"/>
      <c r="G12" s="502"/>
      <c r="H12" s="502"/>
      <c r="I12" s="502"/>
      <c r="J12" s="502"/>
      <c r="K12" s="502"/>
      <c r="L12" s="504"/>
      <c r="M12" s="502"/>
      <c r="N12" s="504"/>
      <c r="O12" s="502"/>
      <c r="P12" s="972"/>
      <c r="Q12" s="505"/>
      <c r="R12" s="1070"/>
      <c r="S12" s="505"/>
      <c r="T12" s="973"/>
    </row>
    <row r="13" spans="1:20" s="515" customFormat="1" ht="20.25" customHeight="1">
      <c r="A13" s="508"/>
      <c r="B13" s="508"/>
      <c r="C13" s="974" t="s">
        <v>1722</v>
      </c>
      <c r="D13" s="510"/>
      <c r="E13" s="510"/>
      <c r="F13" s="510"/>
      <c r="G13" s="510"/>
      <c r="H13" s="510"/>
      <c r="I13" s="510"/>
      <c r="J13" s="510"/>
      <c r="K13" s="510"/>
      <c r="L13" s="511"/>
      <c r="M13" s="512"/>
      <c r="N13" s="511"/>
      <c r="O13" s="512"/>
      <c r="P13" s="975"/>
      <c r="Q13" s="514"/>
      <c r="R13" s="510"/>
      <c r="S13" s="514"/>
      <c r="T13" s="976"/>
    </row>
    <row r="14" spans="1:20" s="608" customFormat="1" ht="19.5" customHeight="1">
      <c r="A14" s="607"/>
      <c r="B14" s="607"/>
      <c r="C14" s="977" t="s">
        <v>875</v>
      </c>
      <c r="D14" s="594"/>
      <c r="E14" s="594"/>
      <c r="F14" s="594"/>
      <c r="G14" s="594"/>
      <c r="H14" s="594"/>
      <c r="I14" s="594"/>
      <c r="J14" s="594"/>
      <c r="K14" s="594"/>
      <c r="L14" s="604"/>
      <c r="M14" s="604"/>
      <c r="N14" s="604"/>
      <c r="O14" s="604"/>
      <c r="P14" s="978"/>
      <c r="Q14" s="594"/>
      <c r="R14" s="1069"/>
      <c r="S14" s="594"/>
      <c r="T14" s="941"/>
    </row>
    <row r="15" spans="1:20" s="608" customFormat="1" ht="21" customHeight="1">
      <c r="A15" s="607"/>
      <c r="B15" s="607"/>
      <c r="C15" s="952" t="s">
        <v>1511</v>
      </c>
      <c r="D15" s="594"/>
      <c r="E15" s="594"/>
      <c r="F15" s="594"/>
      <c r="G15" s="594"/>
      <c r="H15" s="594"/>
      <c r="I15" s="594"/>
      <c r="J15" s="594"/>
      <c r="K15" s="594"/>
      <c r="L15" s="604"/>
      <c r="M15" s="604"/>
      <c r="N15" s="604"/>
      <c r="O15" s="604"/>
      <c r="P15" s="939"/>
      <c r="Q15" s="940"/>
      <c r="R15" s="1069"/>
      <c r="S15" s="607"/>
      <c r="T15" s="941"/>
    </row>
    <row r="16" spans="1:20" s="608" customFormat="1" ht="22.5" customHeight="1">
      <c r="A16" s="607"/>
      <c r="B16" s="607"/>
      <c r="C16" s="1838" t="s">
        <v>1616</v>
      </c>
      <c r="D16" s="594"/>
      <c r="E16" s="594"/>
      <c r="F16" s="594"/>
      <c r="G16" s="594"/>
      <c r="H16" s="594"/>
      <c r="I16" s="594"/>
      <c r="J16" s="594"/>
      <c r="K16" s="594"/>
      <c r="L16" s="604"/>
      <c r="M16" s="604"/>
      <c r="N16" s="604"/>
      <c r="O16" s="604"/>
      <c r="P16" s="939"/>
      <c r="Q16" s="1115"/>
      <c r="R16" s="1115"/>
      <c r="S16" s="185" t="s">
        <v>178</v>
      </c>
      <c r="T16" s="941"/>
    </row>
    <row r="17" spans="1:19" ht="19.5" customHeight="1">
      <c r="A17" s="607"/>
      <c r="B17" s="607"/>
      <c r="C17" s="115" t="s">
        <v>12</v>
      </c>
      <c r="D17" s="115"/>
      <c r="E17" s="115"/>
      <c r="F17" s="115"/>
      <c r="G17" s="72"/>
      <c r="H17" s="72"/>
      <c r="I17" s="72"/>
      <c r="J17" s="72"/>
      <c r="K17" s="72"/>
      <c r="L17" s="72"/>
      <c r="M17" s="72"/>
      <c r="N17" s="72"/>
      <c r="O17" s="108"/>
      <c r="P17" s="1085">
        <f>P18+P23</f>
        <v>2559000</v>
      </c>
      <c r="Q17" s="1115"/>
      <c r="R17" s="1115"/>
      <c r="S17" s="1596" t="s">
        <v>1562</v>
      </c>
    </row>
    <row r="18" spans="1:19" ht="17.25" customHeight="1">
      <c r="A18" s="607"/>
      <c r="B18" s="607"/>
      <c r="C18" s="388" t="s">
        <v>101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5">
        <f>SUM(P19:P22)</f>
        <v>2040000</v>
      </c>
      <c r="Q18" s="312"/>
      <c r="R18" s="312"/>
      <c r="S18" s="1597"/>
    </row>
    <row r="19" spans="1:19" ht="77.25" customHeight="1">
      <c r="A19" s="299"/>
      <c r="B19" s="299"/>
      <c r="C19" s="1335" t="s">
        <v>1512</v>
      </c>
      <c r="D19" s="108"/>
      <c r="E19" s="108"/>
      <c r="F19" s="108"/>
      <c r="G19" s="108"/>
      <c r="H19" s="1092" t="s">
        <v>1513</v>
      </c>
      <c r="I19" s="107"/>
      <c r="J19" s="1087" t="s">
        <v>104</v>
      </c>
      <c r="K19" s="108"/>
      <c r="L19" s="130">
        <v>1</v>
      </c>
      <c r="M19" s="130">
        <v>10</v>
      </c>
      <c r="N19" s="130">
        <v>6</v>
      </c>
      <c r="O19" s="1045">
        <v>60000</v>
      </c>
      <c r="P19" s="1045">
        <f>O19*N19*L19</f>
        <v>360000</v>
      </c>
      <c r="Q19" s="356"/>
      <c r="R19" s="356"/>
      <c r="S19" s="1598"/>
    </row>
    <row r="20" spans="1:19" ht="17.25" customHeight="1">
      <c r="A20" s="299"/>
      <c r="B20" s="299"/>
      <c r="C20" s="948" t="s">
        <v>1514</v>
      </c>
      <c r="D20" s="108"/>
      <c r="E20" s="108"/>
      <c r="F20" s="108"/>
      <c r="G20" s="108"/>
      <c r="H20" s="107" t="s">
        <v>808</v>
      </c>
      <c r="I20" s="107"/>
      <c r="J20" s="1090" t="s">
        <v>104</v>
      </c>
      <c r="K20" s="108"/>
      <c r="L20" s="72">
        <v>3</v>
      </c>
      <c r="M20" s="72">
        <v>10</v>
      </c>
      <c r="N20" s="72">
        <v>7</v>
      </c>
      <c r="O20" s="110">
        <v>50000</v>
      </c>
      <c r="P20" s="110">
        <f>O20*N20*L20</f>
        <v>1050000</v>
      </c>
      <c r="Q20" s="356"/>
      <c r="R20" s="356"/>
      <c r="S20" s="72" t="s">
        <v>1515</v>
      </c>
    </row>
    <row r="21" spans="1:19" ht="17.25" customHeight="1">
      <c r="A21" s="299"/>
      <c r="B21" s="299"/>
      <c r="C21" s="948" t="s">
        <v>1516</v>
      </c>
      <c r="D21" s="108"/>
      <c r="E21" s="108"/>
      <c r="F21" s="108"/>
      <c r="G21" s="108"/>
      <c r="H21" s="107" t="s">
        <v>808</v>
      </c>
      <c r="I21" s="1090" t="s">
        <v>104</v>
      </c>
      <c r="J21" s="107"/>
      <c r="K21" s="108"/>
      <c r="L21" s="72">
        <v>2</v>
      </c>
      <c r="M21" s="72">
        <v>5</v>
      </c>
      <c r="N21" s="72">
        <v>7</v>
      </c>
      <c r="O21" s="110">
        <v>35000</v>
      </c>
      <c r="P21" s="110">
        <f>O21*N21*L21</f>
        <v>490000</v>
      </c>
      <c r="Q21" s="356"/>
      <c r="R21" s="356"/>
      <c r="S21" s="72" t="s">
        <v>1517</v>
      </c>
    </row>
    <row r="22" spans="1:19" ht="17.25" customHeight="1">
      <c r="A22" s="299"/>
      <c r="B22" s="299"/>
      <c r="C22" s="948" t="s">
        <v>1518</v>
      </c>
      <c r="D22" s="108"/>
      <c r="E22" s="108"/>
      <c r="F22" s="108"/>
      <c r="G22" s="108"/>
      <c r="H22" s="107" t="s">
        <v>808</v>
      </c>
      <c r="I22" s="1090" t="s">
        <v>104</v>
      </c>
      <c r="J22" s="107"/>
      <c r="K22" s="108"/>
      <c r="L22" s="72">
        <v>1</v>
      </c>
      <c r="M22" s="72">
        <v>5</v>
      </c>
      <c r="N22" s="72">
        <v>4</v>
      </c>
      <c r="O22" s="110">
        <v>35000</v>
      </c>
      <c r="P22" s="110">
        <f>O22*N22*L22</f>
        <v>140000</v>
      </c>
      <c r="Q22" s="356"/>
      <c r="R22" s="356"/>
      <c r="S22" s="1336" t="s">
        <v>1519</v>
      </c>
    </row>
    <row r="23" spans="1:19" ht="17.25" customHeight="1">
      <c r="A23" s="299"/>
      <c r="B23" s="299"/>
      <c r="C23" s="388" t="s">
        <v>112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5">
        <f>SUM(P24:P25)</f>
        <v>519000</v>
      </c>
      <c r="Q23" s="356"/>
      <c r="R23" s="356"/>
      <c r="S23" s="72" t="s">
        <v>1520</v>
      </c>
    </row>
    <row r="24" spans="1:19" ht="17.25" customHeight="1">
      <c r="A24" s="299"/>
      <c r="B24" s="299"/>
      <c r="C24" s="948" t="s">
        <v>1521</v>
      </c>
      <c r="D24" s="108"/>
      <c r="E24" s="108"/>
      <c r="F24" s="108"/>
      <c r="G24" s="108"/>
      <c r="H24" s="107" t="s">
        <v>114</v>
      </c>
      <c r="I24" s="1090" t="s">
        <v>104</v>
      </c>
      <c r="J24" s="108"/>
      <c r="K24" s="108"/>
      <c r="L24" s="72">
        <v>4</v>
      </c>
      <c r="M24" s="108">
        <v>5</v>
      </c>
      <c r="N24" s="72">
        <v>4</v>
      </c>
      <c r="O24" s="110">
        <v>24000</v>
      </c>
      <c r="P24" s="110">
        <f>O24*N24*L24</f>
        <v>384000</v>
      </c>
      <c r="Q24" s="356"/>
      <c r="R24" s="356"/>
      <c r="S24" s="72" t="s">
        <v>1522</v>
      </c>
    </row>
    <row r="25" spans="1:19" ht="17.25" customHeight="1">
      <c r="A25" s="299"/>
      <c r="B25" s="299"/>
      <c r="C25" s="948" t="s">
        <v>185</v>
      </c>
      <c r="D25" s="108"/>
      <c r="E25" s="108"/>
      <c r="F25" s="108"/>
      <c r="G25" s="108"/>
      <c r="H25" s="107" t="s">
        <v>114</v>
      </c>
      <c r="I25" s="1090" t="s">
        <v>104</v>
      </c>
      <c r="J25" s="108"/>
      <c r="K25" s="108"/>
      <c r="L25" s="72">
        <v>1</v>
      </c>
      <c r="M25" s="108">
        <v>5</v>
      </c>
      <c r="N25" s="72">
        <v>9</v>
      </c>
      <c r="O25" s="110">
        <v>15000</v>
      </c>
      <c r="P25" s="110">
        <f>O25*N25*L25</f>
        <v>135000</v>
      </c>
      <c r="Q25" s="356"/>
      <c r="R25" s="356"/>
      <c r="S25" s="72"/>
    </row>
    <row r="26" spans="1:19" ht="17.25" customHeight="1">
      <c r="A26" s="299"/>
      <c r="B26" s="299"/>
      <c r="C26" s="388" t="s">
        <v>853</v>
      </c>
      <c r="D26" s="108"/>
      <c r="E26" s="108"/>
      <c r="F26" s="108"/>
      <c r="G26" s="108"/>
      <c r="H26" s="108"/>
      <c r="I26" s="108"/>
      <c r="J26" s="108"/>
      <c r="K26" s="108"/>
      <c r="L26" s="1093"/>
      <c r="M26" s="1094"/>
      <c r="N26" s="1094"/>
      <c r="O26" s="1094"/>
      <c r="P26" s="1085">
        <f>P27+P42+P46+P47+P48+P49</f>
        <v>2256500</v>
      </c>
      <c r="Q26" s="356"/>
      <c r="R26" s="356"/>
      <c r="S26" s="185" t="s">
        <v>187</v>
      </c>
    </row>
    <row r="27" spans="1:19" ht="17.25" customHeight="1">
      <c r="A27" s="299"/>
      <c r="B27" s="299"/>
      <c r="C27" s="388" t="s">
        <v>1523</v>
      </c>
      <c r="D27" s="108"/>
      <c r="E27" s="108"/>
      <c r="F27" s="108"/>
      <c r="G27" s="108"/>
      <c r="H27" s="108"/>
      <c r="I27" s="108"/>
      <c r="J27" s="108"/>
      <c r="K27" s="108"/>
      <c r="L27" s="1093"/>
      <c r="M27" s="1093"/>
      <c r="N27" s="1093"/>
      <c r="O27" s="1093"/>
      <c r="P27" s="1085">
        <f>P28+P33+P38</f>
        <v>210900</v>
      </c>
      <c r="Q27" s="356"/>
      <c r="R27" s="356"/>
      <c r="S27" s="1336" t="s">
        <v>1524</v>
      </c>
    </row>
    <row r="28" spans="1:19" ht="17.25" customHeight="1">
      <c r="A28" s="299"/>
      <c r="B28" s="299"/>
      <c r="C28" s="388" t="s">
        <v>1525</v>
      </c>
      <c r="D28" s="108"/>
      <c r="E28" s="108"/>
      <c r="F28" s="108"/>
      <c r="G28" s="108"/>
      <c r="H28" s="108"/>
      <c r="I28" s="108"/>
      <c r="J28" s="108"/>
      <c r="K28" s="108"/>
      <c r="L28" s="1095"/>
      <c r="M28" s="1093"/>
      <c r="N28" s="1093"/>
      <c r="O28" s="1093"/>
      <c r="P28" s="1085">
        <f>SUM(P29:P32)</f>
        <v>144000</v>
      </c>
      <c r="Q28" s="356"/>
      <c r="R28" s="356"/>
      <c r="S28" s="72" t="s">
        <v>1526</v>
      </c>
    </row>
    <row r="29" spans="1:19" ht="17.25" customHeight="1">
      <c r="A29" s="299"/>
      <c r="B29" s="299"/>
      <c r="C29" s="948" t="s">
        <v>1527</v>
      </c>
      <c r="D29" s="108"/>
      <c r="E29" s="108"/>
      <c r="F29" s="108"/>
      <c r="G29" s="108"/>
      <c r="H29" s="108"/>
      <c r="I29" s="108"/>
      <c r="J29" s="108"/>
      <c r="K29" s="108"/>
      <c r="L29" s="189"/>
      <c r="M29" s="189"/>
      <c r="N29" s="189">
        <v>1</v>
      </c>
      <c r="O29" s="311">
        <v>10000</v>
      </c>
      <c r="P29" s="110">
        <f>O29*N29</f>
        <v>10000</v>
      </c>
      <c r="Q29" s="356"/>
      <c r="R29" s="356"/>
      <c r="S29" s="72" t="s">
        <v>1528</v>
      </c>
    </row>
    <row r="30" spans="1:19" ht="17.25" customHeight="1">
      <c r="A30" s="299"/>
      <c r="B30" s="299"/>
      <c r="C30" s="948" t="s">
        <v>1529</v>
      </c>
      <c r="D30" s="108"/>
      <c r="E30" s="108"/>
      <c r="F30" s="108"/>
      <c r="G30" s="108"/>
      <c r="H30" s="108"/>
      <c r="I30" s="108"/>
      <c r="J30" s="108"/>
      <c r="K30" s="108"/>
      <c r="L30" s="189"/>
      <c r="M30" s="189">
        <v>1</v>
      </c>
      <c r="N30" s="189">
        <v>200</v>
      </c>
      <c r="O30" s="311">
        <v>100</v>
      </c>
      <c r="P30" s="110">
        <f>O30*N30*M30</f>
        <v>20000</v>
      </c>
      <c r="Q30" s="356"/>
      <c r="R30" s="356"/>
      <c r="S30" s="72" t="s">
        <v>1530</v>
      </c>
    </row>
    <row r="31" spans="1:19" ht="17.25" customHeight="1">
      <c r="A31" s="302"/>
      <c r="B31" s="302"/>
      <c r="C31" s="948" t="s">
        <v>1531</v>
      </c>
      <c r="D31" s="108"/>
      <c r="E31" s="108"/>
      <c r="F31" s="108"/>
      <c r="G31" s="108"/>
      <c r="H31" s="108"/>
      <c r="I31" s="108"/>
      <c r="J31" s="108"/>
      <c r="K31" s="108"/>
      <c r="L31" s="189"/>
      <c r="M31" s="189">
        <v>1</v>
      </c>
      <c r="N31" s="189">
        <v>200</v>
      </c>
      <c r="O31" s="311">
        <v>500</v>
      </c>
      <c r="P31" s="110">
        <f>O31*N31*M31</f>
        <v>100000</v>
      </c>
      <c r="Q31" s="356"/>
      <c r="R31" s="356"/>
      <c r="S31" s="72"/>
    </row>
    <row r="32" spans="1:19" ht="17.25" customHeight="1">
      <c r="A32" s="1096"/>
      <c r="B32" s="1096"/>
      <c r="C32" s="948" t="s">
        <v>1532</v>
      </c>
      <c r="D32" s="108"/>
      <c r="E32" s="108"/>
      <c r="F32" s="108"/>
      <c r="G32" s="108"/>
      <c r="H32" s="108"/>
      <c r="I32" s="108"/>
      <c r="J32" s="108"/>
      <c r="K32" s="108"/>
      <c r="L32" s="189"/>
      <c r="M32" s="189"/>
      <c r="N32" s="189">
        <v>200</v>
      </c>
      <c r="O32" s="311">
        <v>70</v>
      </c>
      <c r="P32" s="110">
        <f>O32*N32</f>
        <v>14000</v>
      </c>
      <c r="Q32" s="359"/>
      <c r="R32" s="359"/>
      <c r="S32" s="72"/>
    </row>
    <row r="33" spans="1:19" ht="17.25" customHeight="1">
      <c r="A33" s="1432"/>
      <c r="B33" s="1432"/>
      <c r="C33" s="388" t="s">
        <v>1533</v>
      </c>
      <c r="D33" s="108"/>
      <c r="E33" s="108"/>
      <c r="F33" s="108"/>
      <c r="G33" s="108"/>
      <c r="H33" s="108"/>
      <c r="I33" s="108"/>
      <c r="J33" s="108"/>
      <c r="K33" s="108"/>
      <c r="L33" s="118"/>
      <c r="M33" s="118"/>
      <c r="N33" s="118"/>
      <c r="O33" s="118"/>
      <c r="P33" s="1085">
        <f>SUM(P34:P37)</f>
        <v>53500</v>
      </c>
      <c r="Q33" s="356"/>
      <c r="R33" s="356"/>
      <c r="S33" s="72"/>
    </row>
    <row r="34" spans="1:19" ht="17.25" customHeight="1">
      <c r="A34" s="299"/>
      <c r="B34" s="299"/>
      <c r="C34" s="948" t="s">
        <v>1534</v>
      </c>
      <c r="D34" s="108"/>
      <c r="E34" s="108"/>
      <c r="F34" s="108"/>
      <c r="G34" s="108"/>
      <c r="H34" s="108"/>
      <c r="I34" s="108"/>
      <c r="J34" s="108"/>
      <c r="K34" s="108"/>
      <c r="L34" s="189"/>
      <c r="M34" s="189"/>
      <c r="N34" s="189">
        <v>2</v>
      </c>
      <c r="O34" s="311">
        <v>10000</v>
      </c>
      <c r="P34" s="110">
        <f>O34*N34</f>
        <v>20000</v>
      </c>
      <c r="Q34" s="316"/>
      <c r="R34" s="316"/>
      <c r="S34" s="72"/>
    </row>
    <row r="35" spans="1:19" ht="17.25" customHeight="1">
      <c r="A35" s="299"/>
      <c r="B35" s="299"/>
      <c r="C35" s="948" t="s">
        <v>1535</v>
      </c>
      <c r="D35" s="108"/>
      <c r="E35" s="108"/>
      <c r="F35" s="108"/>
      <c r="G35" s="108"/>
      <c r="H35" s="108"/>
      <c r="I35" s="108"/>
      <c r="J35" s="108"/>
      <c r="K35" s="108"/>
      <c r="L35" s="189"/>
      <c r="M35" s="189">
        <v>2</v>
      </c>
      <c r="N35" s="189">
        <v>25</v>
      </c>
      <c r="O35" s="311">
        <v>100</v>
      </c>
      <c r="P35" s="110">
        <f>O35*N35*M35</f>
        <v>5000</v>
      </c>
      <c r="Q35" s="321"/>
      <c r="R35" s="322"/>
      <c r="S35" s="72"/>
    </row>
    <row r="36" spans="1:19" ht="17.25" customHeight="1">
      <c r="A36" s="299"/>
      <c r="B36" s="299"/>
      <c r="C36" s="948" t="s">
        <v>1536</v>
      </c>
      <c r="D36" s="108"/>
      <c r="E36" s="108"/>
      <c r="F36" s="108"/>
      <c r="G36" s="108"/>
      <c r="H36" s="108"/>
      <c r="I36" s="108"/>
      <c r="J36" s="108"/>
      <c r="K36" s="108"/>
      <c r="L36" s="189"/>
      <c r="M36" s="189">
        <v>2</v>
      </c>
      <c r="N36" s="189">
        <v>25</v>
      </c>
      <c r="O36" s="311">
        <v>500</v>
      </c>
      <c r="P36" s="110">
        <f>O36*N36*M36</f>
        <v>25000</v>
      </c>
      <c r="Q36" s="266"/>
      <c r="R36" s="327"/>
      <c r="S36" s="72"/>
    </row>
    <row r="37" spans="1:19" ht="17.25" customHeight="1">
      <c r="A37" s="299"/>
      <c r="B37" s="299"/>
      <c r="C37" s="948" t="s">
        <v>1537</v>
      </c>
      <c r="D37" s="108"/>
      <c r="E37" s="108"/>
      <c r="F37" s="108"/>
      <c r="G37" s="108"/>
      <c r="H37" s="108"/>
      <c r="I37" s="108"/>
      <c r="J37" s="108"/>
      <c r="K37" s="108"/>
      <c r="L37" s="189"/>
      <c r="M37" s="189"/>
      <c r="N37" s="189">
        <v>50</v>
      </c>
      <c r="O37" s="311">
        <v>70</v>
      </c>
      <c r="P37" s="110">
        <f>O37*N37</f>
        <v>3500</v>
      </c>
      <c r="Q37" s="328"/>
      <c r="R37" s="328"/>
      <c r="S37" s="72"/>
    </row>
    <row r="38" spans="1:19" ht="17.25" customHeight="1">
      <c r="A38" s="299"/>
      <c r="B38" s="299"/>
      <c r="C38" s="388" t="s">
        <v>1538</v>
      </c>
      <c r="D38" s="108"/>
      <c r="E38" s="108"/>
      <c r="F38" s="108"/>
      <c r="G38" s="108"/>
      <c r="H38" s="108"/>
      <c r="I38" s="108"/>
      <c r="J38" s="108"/>
      <c r="K38" s="108"/>
      <c r="L38" s="118"/>
      <c r="M38" s="118"/>
      <c r="N38" s="118"/>
      <c r="O38" s="118"/>
      <c r="P38" s="1085">
        <f>SUM(P39:P41)</f>
        <v>13400</v>
      </c>
      <c r="Q38" s="328"/>
      <c r="R38" s="328"/>
      <c r="S38" s="72"/>
    </row>
    <row r="39" spans="1:19" ht="17.25" customHeight="1">
      <c r="A39" s="302"/>
      <c r="B39" s="302"/>
      <c r="C39" s="948" t="s">
        <v>1539</v>
      </c>
      <c r="D39" s="108"/>
      <c r="E39" s="108"/>
      <c r="F39" s="108"/>
      <c r="G39" s="108"/>
      <c r="H39" s="108"/>
      <c r="I39" s="108"/>
      <c r="J39" s="108"/>
      <c r="K39" s="108"/>
      <c r="L39" s="189"/>
      <c r="M39" s="189"/>
      <c r="N39" s="189">
        <v>20</v>
      </c>
      <c r="O39" s="189">
        <v>100</v>
      </c>
      <c r="P39" s="110">
        <f>O39*N39</f>
        <v>2000</v>
      </c>
      <c r="Q39" s="327"/>
      <c r="R39" s="327"/>
      <c r="S39" s="72"/>
    </row>
    <row r="40" spans="1:19" ht="17.25" customHeight="1">
      <c r="A40" s="302"/>
      <c r="B40" s="302"/>
      <c r="C40" s="948" t="s">
        <v>1540</v>
      </c>
      <c r="D40" s="108"/>
      <c r="E40" s="108"/>
      <c r="F40" s="108"/>
      <c r="G40" s="108"/>
      <c r="H40" s="108"/>
      <c r="I40" s="108"/>
      <c r="J40" s="108"/>
      <c r="K40" s="108"/>
      <c r="L40" s="189"/>
      <c r="M40" s="189"/>
      <c r="N40" s="189">
        <v>20</v>
      </c>
      <c r="O40" s="189">
        <v>500</v>
      </c>
      <c r="P40" s="110">
        <f>O40*N40</f>
        <v>10000</v>
      </c>
      <c r="Q40" s="328"/>
      <c r="R40" s="984"/>
      <c r="S40" s="72"/>
    </row>
    <row r="41" spans="1:19" ht="17.25" customHeight="1">
      <c r="A41" s="302"/>
      <c r="B41" s="302"/>
      <c r="C41" s="948" t="s">
        <v>1541</v>
      </c>
      <c r="D41" s="108"/>
      <c r="E41" s="108"/>
      <c r="F41" s="108"/>
      <c r="G41" s="108"/>
      <c r="H41" s="108"/>
      <c r="I41" s="108"/>
      <c r="J41" s="108"/>
      <c r="K41" s="108"/>
      <c r="L41" s="189"/>
      <c r="M41" s="189"/>
      <c r="N41" s="189">
        <v>20</v>
      </c>
      <c r="O41" s="189">
        <v>70</v>
      </c>
      <c r="P41" s="110">
        <f>O41*N41</f>
        <v>1400</v>
      </c>
      <c r="Q41" s="328"/>
      <c r="R41" s="328"/>
      <c r="S41" s="72"/>
    </row>
    <row r="42" spans="1:19" ht="17.25" customHeight="1">
      <c r="A42" s="302"/>
      <c r="B42" s="302"/>
      <c r="C42" s="388" t="s">
        <v>1542</v>
      </c>
      <c r="D42" s="108"/>
      <c r="E42" s="108"/>
      <c r="F42" s="108"/>
      <c r="G42" s="108"/>
      <c r="H42" s="108"/>
      <c r="I42" s="108"/>
      <c r="J42" s="108"/>
      <c r="K42" s="108"/>
      <c r="L42" s="118"/>
      <c r="M42" s="118"/>
      <c r="N42" s="118"/>
      <c r="O42" s="118"/>
      <c r="P42" s="1085">
        <f>SUM(P43:P45)</f>
        <v>351600</v>
      </c>
      <c r="Q42" s="328"/>
      <c r="R42" s="328"/>
      <c r="S42" s="72"/>
    </row>
    <row r="43" spans="1:19" ht="17.25" customHeight="1">
      <c r="A43" s="302"/>
      <c r="B43" s="302"/>
      <c r="C43" s="948" t="s">
        <v>1543</v>
      </c>
      <c r="D43" s="108"/>
      <c r="E43" s="108"/>
      <c r="F43" s="108"/>
      <c r="G43" s="108"/>
      <c r="H43" s="108"/>
      <c r="I43" s="108"/>
      <c r="J43" s="108"/>
      <c r="K43" s="108"/>
      <c r="L43" s="189"/>
      <c r="M43" s="189">
        <v>4</v>
      </c>
      <c r="N43" s="189">
        <v>60</v>
      </c>
      <c r="O43" s="311">
        <v>240</v>
      </c>
      <c r="P43" s="110">
        <f>O43*N43*M43</f>
        <v>57600</v>
      </c>
      <c r="Q43" s="328"/>
      <c r="R43" s="328"/>
      <c r="S43" s="72"/>
    </row>
    <row r="44" spans="1:19" ht="17.25" customHeight="1">
      <c r="A44" s="302"/>
      <c r="B44" s="302"/>
      <c r="C44" s="948" t="s">
        <v>1544</v>
      </c>
      <c r="D44" s="108"/>
      <c r="E44" s="108"/>
      <c r="F44" s="108"/>
      <c r="G44" s="108"/>
      <c r="H44" s="108"/>
      <c r="I44" s="108"/>
      <c r="J44" s="108"/>
      <c r="K44" s="108"/>
      <c r="L44" s="189"/>
      <c r="M44" s="189">
        <v>4</v>
      </c>
      <c r="N44" s="189">
        <v>30</v>
      </c>
      <c r="O44" s="311">
        <v>1200</v>
      </c>
      <c r="P44" s="110">
        <f>O44*N44*M44</f>
        <v>144000</v>
      </c>
      <c r="Q44" s="328"/>
      <c r="R44" s="328"/>
      <c r="S44" s="72"/>
    </row>
    <row r="45" spans="1:19" ht="17.25" customHeight="1">
      <c r="A45" s="302"/>
      <c r="B45" s="302"/>
      <c r="C45" s="948" t="s">
        <v>1545</v>
      </c>
      <c r="D45" s="108"/>
      <c r="E45" s="108"/>
      <c r="F45" s="108"/>
      <c r="G45" s="108"/>
      <c r="H45" s="108"/>
      <c r="I45" s="108"/>
      <c r="J45" s="108"/>
      <c r="K45" s="108"/>
      <c r="L45" s="189"/>
      <c r="M45" s="189"/>
      <c r="N45" s="189">
        <v>60</v>
      </c>
      <c r="O45" s="311">
        <v>2500</v>
      </c>
      <c r="P45" s="110">
        <f>O45*N45</f>
        <v>150000</v>
      </c>
      <c r="Q45" s="986"/>
      <c r="R45" s="987"/>
      <c r="S45" s="72"/>
    </row>
    <row r="46" spans="1:19" ht="17.25" customHeight="1">
      <c r="A46" s="302"/>
      <c r="B46" s="302"/>
      <c r="C46" s="388" t="s">
        <v>1546</v>
      </c>
      <c r="D46" s="108"/>
      <c r="E46" s="108"/>
      <c r="F46" s="108"/>
      <c r="G46" s="108"/>
      <c r="H46" s="108"/>
      <c r="I46" s="108"/>
      <c r="J46" s="108"/>
      <c r="K46" s="108"/>
      <c r="L46" s="118"/>
      <c r="M46" s="118"/>
      <c r="N46" s="118"/>
      <c r="O46" s="118"/>
      <c r="P46" s="109">
        <v>545000</v>
      </c>
      <c r="Q46" s="331"/>
      <c r="R46" s="331"/>
      <c r="S46" s="72"/>
    </row>
    <row r="47" spans="1:19" ht="17.25" customHeight="1">
      <c r="A47" s="302"/>
      <c r="B47" s="302"/>
      <c r="C47" s="388" t="s">
        <v>1547</v>
      </c>
      <c r="D47" s="108"/>
      <c r="E47" s="108"/>
      <c r="F47" s="108"/>
      <c r="G47" s="108"/>
      <c r="H47" s="108"/>
      <c r="I47" s="108"/>
      <c r="J47" s="108"/>
      <c r="K47" s="108"/>
      <c r="L47" s="118"/>
      <c r="M47" s="118"/>
      <c r="N47" s="118"/>
      <c r="O47" s="118"/>
      <c r="P47" s="109">
        <v>1000000</v>
      </c>
      <c r="Q47" s="332"/>
      <c r="R47" s="332"/>
      <c r="S47" s="72"/>
    </row>
    <row r="48" spans="1:19" ht="17.25" customHeight="1">
      <c r="A48" s="302"/>
      <c r="B48" s="302"/>
      <c r="C48" s="388" t="s">
        <v>1548</v>
      </c>
      <c r="D48" s="108"/>
      <c r="E48" s="108"/>
      <c r="F48" s="108"/>
      <c r="G48" s="108"/>
      <c r="H48" s="108"/>
      <c r="I48" s="108"/>
      <c r="J48" s="108"/>
      <c r="K48" s="108"/>
      <c r="L48" s="118"/>
      <c r="M48" s="118"/>
      <c r="N48" s="118">
        <v>300</v>
      </c>
      <c r="O48" s="118">
        <v>400</v>
      </c>
      <c r="P48" s="109">
        <f>O48*N48</f>
        <v>120000</v>
      </c>
      <c r="Q48" s="334"/>
      <c r="R48" s="334"/>
      <c r="S48" s="72"/>
    </row>
    <row r="49" spans="1:19" ht="17.25" customHeight="1">
      <c r="A49" s="302"/>
      <c r="B49" s="302"/>
      <c r="C49" s="388" t="s">
        <v>1549</v>
      </c>
      <c r="D49" s="108"/>
      <c r="E49" s="108"/>
      <c r="F49" s="108"/>
      <c r="G49" s="108"/>
      <c r="H49" s="108"/>
      <c r="I49" s="108"/>
      <c r="J49" s="108"/>
      <c r="K49" s="108"/>
      <c r="L49" s="118"/>
      <c r="M49" s="118"/>
      <c r="N49" s="118"/>
      <c r="O49" s="118"/>
      <c r="P49" s="1085">
        <f>SUM(P50:P53)</f>
        <v>29000</v>
      </c>
      <c r="Q49" s="328"/>
      <c r="R49" s="328"/>
      <c r="S49" s="72"/>
    </row>
    <row r="50" spans="1:19" ht="17.25" customHeight="1">
      <c r="A50" s="302"/>
      <c r="B50" s="302"/>
      <c r="C50" s="948" t="s">
        <v>1550</v>
      </c>
      <c r="D50" s="108"/>
      <c r="E50" s="108"/>
      <c r="F50" s="108"/>
      <c r="G50" s="108"/>
      <c r="H50" s="108"/>
      <c r="I50" s="108"/>
      <c r="J50" s="108"/>
      <c r="K50" s="108"/>
      <c r="L50" s="189"/>
      <c r="M50" s="189"/>
      <c r="N50" s="189">
        <v>10</v>
      </c>
      <c r="O50" s="311">
        <v>500</v>
      </c>
      <c r="P50" s="110">
        <f>O50*N50</f>
        <v>5000</v>
      </c>
      <c r="Q50" s="331"/>
      <c r="R50" s="331"/>
      <c r="S50" s="72"/>
    </row>
    <row r="51" spans="1:19" ht="17.25" customHeight="1">
      <c r="A51" s="302"/>
      <c r="B51" s="302"/>
      <c r="C51" s="948" t="s">
        <v>1551</v>
      </c>
      <c r="D51" s="108"/>
      <c r="E51" s="108"/>
      <c r="F51" s="108"/>
      <c r="G51" s="108"/>
      <c r="H51" s="108"/>
      <c r="I51" s="108"/>
      <c r="J51" s="108"/>
      <c r="K51" s="108"/>
      <c r="L51" s="189"/>
      <c r="M51" s="189"/>
      <c r="N51" s="189">
        <v>10</v>
      </c>
      <c r="O51" s="311">
        <v>600</v>
      </c>
      <c r="P51" s="110">
        <f>O51*N51</f>
        <v>6000</v>
      </c>
      <c r="Q51" s="331"/>
      <c r="R51" s="331"/>
      <c r="S51" s="72"/>
    </row>
    <row r="52" spans="1:19" ht="17.25" customHeight="1">
      <c r="A52" s="302"/>
      <c r="B52" s="302"/>
      <c r="C52" s="948" t="s">
        <v>1552</v>
      </c>
      <c r="D52" s="108"/>
      <c r="E52" s="108"/>
      <c r="F52" s="108"/>
      <c r="G52" s="108"/>
      <c r="H52" s="108"/>
      <c r="I52" s="108"/>
      <c r="J52" s="108"/>
      <c r="K52" s="108"/>
      <c r="L52" s="189"/>
      <c r="M52" s="189"/>
      <c r="N52" s="189">
        <v>10</v>
      </c>
      <c r="O52" s="311">
        <v>800</v>
      </c>
      <c r="P52" s="110">
        <f>O52*N52</f>
        <v>8000</v>
      </c>
      <c r="Q52" s="336"/>
      <c r="R52" s="336"/>
      <c r="S52" s="387"/>
    </row>
    <row r="53" spans="1:19" ht="17.25" customHeight="1">
      <c r="A53" s="302"/>
      <c r="B53" s="302"/>
      <c r="C53" s="948" t="s">
        <v>1553</v>
      </c>
      <c r="D53" s="108"/>
      <c r="E53" s="108"/>
      <c r="F53" s="108"/>
      <c r="G53" s="108"/>
      <c r="H53" s="108"/>
      <c r="I53" s="108"/>
      <c r="J53" s="108"/>
      <c r="K53" s="108"/>
      <c r="L53" s="189"/>
      <c r="M53" s="189"/>
      <c r="N53" s="189">
        <v>10</v>
      </c>
      <c r="O53" s="311">
        <v>1000</v>
      </c>
      <c r="P53" s="110">
        <f>O53*N53</f>
        <v>10000</v>
      </c>
      <c r="Q53" s="328"/>
      <c r="R53" s="328"/>
      <c r="S53" s="387"/>
    </row>
    <row r="54" spans="1:19" ht="17.25" customHeight="1">
      <c r="A54" s="302"/>
      <c r="B54" s="302"/>
      <c r="C54" s="388" t="s">
        <v>1554</v>
      </c>
      <c r="D54" s="108"/>
      <c r="E54" s="108"/>
      <c r="F54" s="108"/>
      <c r="G54" s="108"/>
      <c r="H54" s="108"/>
      <c r="I54" s="108"/>
      <c r="J54" s="108"/>
      <c r="K54" s="108"/>
      <c r="L54" s="118"/>
      <c r="M54" s="118"/>
      <c r="N54" s="118"/>
      <c r="O54" s="118"/>
      <c r="P54" s="1085">
        <f>SUM(P56:P60)</f>
        <v>424700</v>
      </c>
      <c r="Q54" s="328"/>
      <c r="R54" s="328"/>
      <c r="S54" s="72"/>
    </row>
    <row r="55" spans="1:19" ht="17.25" customHeight="1">
      <c r="A55" s="302"/>
      <c r="B55" s="302"/>
      <c r="C55" s="388" t="s">
        <v>1555</v>
      </c>
      <c r="D55" s="108"/>
      <c r="E55" s="108"/>
      <c r="F55" s="108"/>
      <c r="G55" s="108"/>
      <c r="H55" s="108"/>
      <c r="I55" s="108"/>
      <c r="J55" s="108"/>
      <c r="K55" s="108"/>
      <c r="L55" s="72"/>
      <c r="M55" s="72"/>
      <c r="N55" s="72"/>
      <c r="O55" s="72"/>
      <c r="P55" s="72"/>
      <c r="Q55" s="327"/>
      <c r="R55" s="327"/>
      <c r="S55" s="72"/>
    </row>
    <row r="56" spans="1:19" ht="17.25" customHeight="1">
      <c r="A56" s="302"/>
      <c r="B56" s="302"/>
      <c r="C56" s="948" t="s">
        <v>1556</v>
      </c>
      <c r="D56" s="108"/>
      <c r="E56" s="108"/>
      <c r="F56" s="108"/>
      <c r="G56" s="108"/>
      <c r="H56" s="108"/>
      <c r="I56" s="108"/>
      <c r="J56" s="108"/>
      <c r="K56" s="108"/>
      <c r="L56" s="72"/>
      <c r="M56" s="72">
        <v>5</v>
      </c>
      <c r="N56" s="72">
        <v>60</v>
      </c>
      <c r="O56" s="110">
        <v>240</v>
      </c>
      <c r="P56" s="110">
        <f>O56*N56*M56</f>
        <v>72000</v>
      </c>
      <c r="Q56" s="336"/>
      <c r="R56" s="336"/>
      <c r="S56" s="72"/>
    </row>
    <row r="57" spans="1:19" ht="17.25" customHeight="1">
      <c r="A57" s="302"/>
      <c r="B57" s="302"/>
      <c r="C57" s="948" t="s">
        <v>1557</v>
      </c>
      <c r="D57" s="108"/>
      <c r="E57" s="108"/>
      <c r="F57" s="108"/>
      <c r="G57" s="108"/>
      <c r="H57" s="108"/>
      <c r="I57" s="108"/>
      <c r="J57" s="108"/>
      <c r="K57" s="108"/>
      <c r="L57" s="72"/>
      <c r="M57" s="72">
        <v>5</v>
      </c>
      <c r="N57" s="72">
        <v>30</v>
      </c>
      <c r="O57" s="110">
        <v>1000</v>
      </c>
      <c r="P57" s="110">
        <f>O57*N57*M57</f>
        <v>150000</v>
      </c>
      <c r="Q57" s="328"/>
      <c r="R57" s="328"/>
      <c r="S57" s="72"/>
    </row>
    <row r="58" spans="1:19" ht="17.25" customHeight="1">
      <c r="A58" s="302"/>
      <c r="B58" s="302"/>
      <c r="C58" s="948" t="s">
        <v>1558</v>
      </c>
      <c r="D58" s="108"/>
      <c r="E58" s="108"/>
      <c r="F58" s="108"/>
      <c r="G58" s="108"/>
      <c r="H58" s="108"/>
      <c r="I58" s="108"/>
      <c r="J58" s="108"/>
      <c r="K58" s="108"/>
      <c r="L58" s="72"/>
      <c r="M58" s="72">
        <v>5</v>
      </c>
      <c r="N58" s="72">
        <v>24</v>
      </c>
      <c r="O58" s="110">
        <v>400</v>
      </c>
      <c r="P58" s="110">
        <f>O58*N58*M58</f>
        <v>48000</v>
      </c>
      <c r="Q58" s="328"/>
      <c r="R58" s="328"/>
      <c r="S58" s="72"/>
    </row>
    <row r="59" spans="1:19" ht="17.25" customHeight="1">
      <c r="A59" s="302"/>
      <c r="B59" s="302"/>
      <c r="C59" s="948" t="s">
        <v>1559</v>
      </c>
      <c r="D59" s="108"/>
      <c r="E59" s="108"/>
      <c r="F59" s="108"/>
      <c r="G59" s="108"/>
      <c r="H59" s="108"/>
      <c r="I59" s="108"/>
      <c r="J59" s="108"/>
      <c r="K59" s="108"/>
      <c r="L59" s="72"/>
      <c r="M59" s="72"/>
      <c r="N59" s="72">
        <v>60</v>
      </c>
      <c r="O59" s="110">
        <v>2500</v>
      </c>
      <c r="P59" s="110">
        <f>O59*N59</f>
        <v>150000</v>
      </c>
      <c r="Q59" s="328"/>
      <c r="R59" s="328"/>
      <c r="S59" s="72"/>
    </row>
    <row r="60" spans="1:19" ht="17.25" customHeight="1">
      <c r="A60" s="302"/>
      <c r="B60" s="302"/>
      <c r="C60" s="948" t="s">
        <v>1560</v>
      </c>
      <c r="D60" s="108"/>
      <c r="E60" s="108"/>
      <c r="F60" s="108"/>
      <c r="G60" s="108"/>
      <c r="H60" s="108"/>
      <c r="I60" s="108"/>
      <c r="J60" s="108"/>
      <c r="K60" s="108"/>
      <c r="L60" s="72"/>
      <c r="M60" s="72"/>
      <c r="N60" s="72"/>
      <c r="O60" s="110"/>
      <c r="P60" s="110">
        <v>4700</v>
      </c>
      <c r="Q60" s="328"/>
      <c r="R60" s="328"/>
      <c r="S60" s="72"/>
    </row>
    <row r="61" spans="1:19" ht="17.25" customHeight="1">
      <c r="A61" s="1096"/>
      <c r="B61" s="1096"/>
      <c r="C61" s="94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72"/>
      <c r="P61" s="72"/>
      <c r="Q61" s="328"/>
      <c r="R61" s="328"/>
      <c r="S61" s="72"/>
    </row>
    <row r="62" spans="1:19" s="1173" customFormat="1">
      <c r="C62" s="347" t="s">
        <v>171</v>
      </c>
      <c r="D62" s="29" t="s">
        <v>172</v>
      </c>
      <c r="E62" s="29"/>
      <c r="F62" s="29"/>
      <c r="G62" s="1"/>
      <c r="H62" s="1"/>
      <c r="I62" s="1"/>
      <c r="J62" s="1"/>
      <c r="K62" s="1"/>
      <c r="L62" s="1"/>
      <c r="M62" s="1"/>
      <c r="N62" s="1"/>
      <c r="O62" s="1"/>
      <c r="P62" s="1"/>
      <c r="S62" s="268"/>
    </row>
    <row r="63" spans="1:19" s="1173" customFormat="1">
      <c r="D63" s="1173" t="s">
        <v>466</v>
      </c>
      <c r="Q63" s="1116"/>
      <c r="R63" s="1116"/>
    </row>
  </sheetData>
  <mergeCells count="18">
    <mergeCell ref="H8:H10"/>
    <mergeCell ref="I8:K9"/>
    <mergeCell ref="L8:L10"/>
    <mergeCell ref="A2:S2"/>
    <mergeCell ref="A3:S3"/>
    <mergeCell ref="A7:B9"/>
    <mergeCell ref="C7:C10"/>
    <mergeCell ref="D7:E8"/>
    <mergeCell ref="F7:G8"/>
    <mergeCell ref="H7:P7"/>
    <mergeCell ref="S17:S19"/>
    <mergeCell ref="Q8:Q10"/>
    <mergeCell ref="R8:R10"/>
    <mergeCell ref="M8:M10"/>
    <mergeCell ref="N8:N10"/>
    <mergeCell ref="O8:O10"/>
    <mergeCell ref="P8:P10"/>
    <mergeCell ref="S7:S10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45"/>
  <sheetViews>
    <sheetView topLeftCell="C11" zoomScale="130" zoomScaleNormal="130" zoomScaleSheetLayoutView="120" workbookViewId="0">
      <selection activeCell="P28" sqref="P28"/>
    </sheetView>
  </sheetViews>
  <sheetFormatPr defaultRowHeight="24"/>
  <cols>
    <col min="1" max="1" width="4.5" style="1173" customWidth="1"/>
    <col min="2" max="2" width="5" style="1173" customWidth="1"/>
    <col min="3" max="3" width="35.875" customWidth="1"/>
    <col min="4" max="7" width="6.375" customWidth="1"/>
    <col min="8" max="8" width="7.5" customWidth="1"/>
    <col min="9" max="11" width="5.25" customWidth="1"/>
    <col min="12" max="13" width="7.75" customWidth="1"/>
    <col min="14" max="14" width="6.75" customWidth="1"/>
    <col min="15" max="15" width="7.75" customWidth="1"/>
    <col min="16" max="16" width="8.375" style="1531" customWidth="1"/>
    <col min="17" max="18" width="8.625" style="938" customWidth="1"/>
    <col min="19" max="19" width="19" customWidth="1"/>
  </cols>
  <sheetData>
    <row r="1" spans="1:21" ht="12" customHeight="1">
      <c r="A1" s="1"/>
      <c r="B1" s="1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530"/>
      <c r="Q1"/>
      <c r="R1"/>
      <c r="S1" s="1160"/>
    </row>
    <row r="2" spans="1:21" ht="23.25">
      <c r="A2" s="1784" t="s">
        <v>1561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N2" s="1784"/>
      <c r="O2" s="1784"/>
      <c r="P2" s="1784"/>
      <c r="Q2" s="1784"/>
      <c r="R2" s="1784"/>
      <c r="S2" s="1784"/>
    </row>
    <row r="3" spans="1:21" ht="23.25">
      <c r="A3" s="1570" t="s">
        <v>85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  <c r="T3" s="157"/>
      <c r="U3" s="157"/>
    </row>
    <row r="4" spans="1:21" ht="23.25">
      <c r="A4" s="287" t="s">
        <v>0</v>
      </c>
      <c r="B4" s="287"/>
      <c r="Q4" s="448"/>
      <c r="R4" s="448"/>
    </row>
    <row r="5" spans="1:21" ht="25.5">
      <c r="A5" s="287" t="s">
        <v>1</v>
      </c>
      <c r="B5" s="287"/>
      <c r="C5" s="1165"/>
      <c r="D5" s="1165"/>
      <c r="E5" s="1165"/>
      <c r="F5" s="1165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448"/>
      <c r="R5" s="448"/>
      <c r="S5" s="1162"/>
    </row>
    <row r="6" spans="1:21" ht="19.5" customHeight="1"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530"/>
      <c r="Q6" s="448"/>
      <c r="R6" s="448"/>
      <c r="S6" s="1163" t="s">
        <v>1727</v>
      </c>
    </row>
    <row r="7" spans="1:21" ht="15.75">
      <c r="A7" s="1776" t="s">
        <v>87</v>
      </c>
      <c r="B7" s="1776"/>
      <c r="C7" s="1786" t="s">
        <v>88</v>
      </c>
      <c r="D7" s="1789" t="s">
        <v>15</v>
      </c>
      <c r="E7" s="1790"/>
      <c r="F7" s="1789" t="s">
        <v>28</v>
      </c>
      <c r="G7" s="1790"/>
      <c r="H7" s="1798" t="s">
        <v>63</v>
      </c>
      <c r="I7" s="1799"/>
      <c r="J7" s="1799"/>
      <c r="K7" s="1799"/>
      <c r="L7" s="1799"/>
      <c r="M7" s="1799"/>
      <c r="N7" s="1799"/>
      <c r="O7" s="1799"/>
      <c r="P7" s="1799"/>
      <c r="Q7" s="1799"/>
      <c r="R7" s="1800"/>
      <c r="S7" s="1786" t="s">
        <v>91</v>
      </c>
    </row>
    <row r="8" spans="1:21" ht="14.25">
      <c r="A8" s="1776"/>
      <c r="B8" s="1776"/>
      <c r="C8" s="1787"/>
      <c r="D8" s="1791"/>
      <c r="E8" s="1792"/>
      <c r="F8" s="1791"/>
      <c r="G8" s="1792"/>
      <c r="H8" s="1793" t="s">
        <v>76</v>
      </c>
      <c r="I8" s="1793" t="s">
        <v>77</v>
      </c>
      <c r="J8" s="1793"/>
      <c r="K8" s="1793"/>
      <c r="L8" s="1787" t="s">
        <v>175</v>
      </c>
      <c r="M8" s="1787" t="s">
        <v>1737</v>
      </c>
      <c r="N8" s="1787" t="s">
        <v>93</v>
      </c>
      <c r="O8" s="1787" t="s">
        <v>94</v>
      </c>
      <c r="P8" s="1787" t="s">
        <v>718</v>
      </c>
      <c r="Q8" s="1619" t="s">
        <v>89</v>
      </c>
      <c r="R8" s="1619" t="s">
        <v>90</v>
      </c>
      <c r="S8" s="1787"/>
    </row>
    <row r="9" spans="1:21" ht="15.75">
      <c r="A9" s="1776"/>
      <c r="B9" s="1776"/>
      <c r="C9" s="1787"/>
      <c r="D9" s="1164" t="s">
        <v>4</v>
      </c>
      <c r="E9" s="1164" t="s">
        <v>5</v>
      </c>
      <c r="F9" s="1164" t="s">
        <v>4</v>
      </c>
      <c r="G9" s="1164" t="s">
        <v>6</v>
      </c>
      <c r="H9" s="1793"/>
      <c r="I9" s="1793"/>
      <c r="J9" s="1793"/>
      <c r="K9" s="1793"/>
      <c r="L9" s="1787" t="s">
        <v>95</v>
      </c>
      <c r="M9" s="1787"/>
      <c r="N9" s="1787"/>
      <c r="O9" s="1787"/>
      <c r="P9" s="1787"/>
      <c r="Q9" s="1619"/>
      <c r="R9" s="1619"/>
      <c r="S9" s="1787"/>
    </row>
    <row r="10" spans="1:21" ht="15.75">
      <c r="A10" s="1776"/>
      <c r="B10" s="1776"/>
      <c r="C10" s="1787"/>
      <c r="D10" s="1164"/>
      <c r="E10" s="1164"/>
      <c r="F10" s="1164"/>
      <c r="G10" s="1164"/>
      <c r="H10" s="1793"/>
      <c r="I10" s="1793"/>
      <c r="J10" s="1793"/>
      <c r="K10" s="1793"/>
      <c r="L10" s="1787" t="s">
        <v>255</v>
      </c>
      <c r="M10" s="1787"/>
      <c r="N10" s="1787"/>
      <c r="O10" s="1787"/>
      <c r="P10" s="1787"/>
      <c r="Q10" s="1619"/>
      <c r="R10" s="1619"/>
      <c r="S10" s="1787"/>
    </row>
    <row r="11" spans="1:21" ht="21">
      <c r="A11" s="86" t="s">
        <v>96</v>
      </c>
      <c r="B11" s="86" t="s">
        <v>97</v>
      </c>
      <c r="C11" s="1788"/>
      <c r="D11" s="1174"/>
      <c r="E11" s="1174"/>
      <c r="F11" s="1174"/>
      <c r="G11" s="1161"/>
      <c r="H11" s="1793"/>
      <c r="I11" s="1175" t="s">
        <v>78</v>
      </c>
      <c r="J11" s="1175" t="s">
        <v>79</v>
      </c>
      <c r="K11" s="1175" t="s">
        <v>80</v>
      </c>
      <c r="L11" s="1788" t="s">
        <v>719</v>
      </c>
      <c r="M11" s="1788"/>
      <c r="N11" s="1788"/>
      <c r="O11" s="1788"/>
      <c r="P11" s="1788"/>
      <c r="Q11" s="1619"/>
      <c r="R11" s="1619"/>
      <c r="S11" s="1788"/>
    </row>
    <row r="12" spans="1:21" ht="19.5" thickBot="1">
      <c r="A12" s="93"/>
      <c r="B12" s="93"/>
      <c r="C12" s="1166" t="s">
        <v>11</v>
      </c>
      <c r="D12" s="1166"/>
      <c r="E12" s="1166"/>
      <c r="F12" s="1166"/>
      <c r="G12" s="1167"/>
      <c r="H12" s="1167"/>
      <c r="I12" s="1167"/>
      <c r="J12" s="1167"/>
      <c r="K12" s="1167"/>
      <c r="L12" s="1167"/>
      <c r="M12" s="1167"/>
      <c r="N12" s="1167"/>
      <c r="O12" s="1167"/>
      <c r="P12" s="1537">
        <f>P18+P28</f>
        <v>4000000</v>
      </c>
      <c r="Q12" s="1120"/>
      <c r="R12" s="1120"/>
      <c r="S12" s="1167"/>
    </row>
    <row r="13" spans="1:21" s="956" customFormat="1" ht="25.5" customHeight="1" thickTop="1">
      <c r="A13" s="953"/>
      <c r="B13" s="953"/>
      <c r="C13" s="1107" t="s">
        <v>817</v>
      </c>
      <c r="D13" s="1110"/>
      <c r="E13" s="1110"/>
      <c r="F13" s="1110"/>
      <c r="G13" s="1109"/>
      <c r="H13" s="1109"/>
      <c r="I13" s="953"/>
      <c r="J13" s="953"/>
      <c r="K13" s="953"/>
      <c r="L13" s="954"/>
      <c r="M13" s="953"/>
      <c r="N13" s="954"/>
      <c r="O13" s="953"/>
      <c r="P13" s="1532"/>
      <c r="Q13" s="490"/>
      <c r="R13" s="490"/>
      <c r="S13" s="955"/>
    </row>
    <row r="14" spans="1:21" s="963" customFormat="1" ht="25.5" customHeight="1">
      <c r="A14" s="958"/>
      <c r="B14" s="958"/>
      <c r="C14" s="1108" t="s">
        <v>1722</v>
      </c>
      <c r="D14" s="970"/>
      <c r="E14" s="970"/>
      <c r="F14" s="970"/>
      <c r="G14" s="970"/>
      <c r="H14" s="970"/>
      <c r="I14" s="959"/>
      <c r="J14" s="959"/>
      <c r="K14" s="959"/>
      <c r="L14" s="960"/>
      <c r="M14" s="961"/>
      <c r="N14" s="960"/>
      <c r="O14" s="961"/>
      <c r="P14" s="1533"/>
      <c r="Q14" s="571"/>
      <c r="R14" s="574"/>
      <c r="S14" s="962"/>
    </row>
    <row r="15" spans="1:21" s="966" customFormat="1" ht="25.5" customHeight="1">
      <c r="A15" s="965"/>
      <c r="C15" s="1117" t="s">
        <v>875</v>
      </c>
      <c r="D15" s="1118"/>
      <c r="E15" s="1118"/>
      <c r="F15" s="1118"/>
      <c r="G15" s="1118"/>
      <c r="H15" s="1118"/>
      <c r="I15" s="967"/>
      <c r="J15" s="967"/>
      <c r="K15" s="967"/>
      <c r="L15" s="968"/>
      <c r="M15" s="968"/>
      <c r="N15" s="968"/>
      <c r="O15" s="968"/>
      <c r="P15" s="1534"/>
      <c r="Q15" s="940"/>
      <c r="R15" s="594"/>
      <c r="S15" s="967"/>
    </row>
    <row r="16" spans="1:21" s="966" customFormat="1" ht="24" customHeight="1">
      <c r="A16" s="965"/>
      <c r="C16" s="1119" t="s">
        <v>1618</v>
      </c>
      <c r="D16" s="1118"/>
      <c r="E16" s="1118"/>
      <c r="F16" s="1118"/>
      <c r="G16" s="1118"/>
      <c r="H16" s="1118"/>
      <c r="I16" s="967"/>
      <c r="J16" s="967"/>
      <c r="K16" s="967"/>
      <c r="L16" s="968"/>
      <c r="M16" s="968"/>
      <c r="N16" s="968"/>
      <c r="O16" s="968"/>
      <c r="P16" s="1535"/>
      <c r="Q16" s="940"/>
      <c r="R16" s="594"/>
      <c r="S16" s="967"/>
    </row>
    <row r="17" spans="1:21" s="1158" customFormat="1" ht="24" customHeight="1">
      <c r="A17" s="965"/>
      <c r="B17" s="966"/>
      <c r="C17" s="1171" t="s">
        <v>1650</v>
      </c>
      <c r="D17" s="1171"/>
      <c r="E17" s="1171"/>
      <c r="F17" s="1171"/>
      <c r="G17" s="314"/>
      <c r="H17" s="314"/>
      <c r="I17" s="314"/>
      <c r="J17" s="314"/>
      <c r="K17" s="314"/>
      <c r="L17" s="314"/>
      <c r="M17" s="1103"/>
      <c r="N17" s="1103"/>
      <c r="O17" s="1155"/>
      <c r="P17" s="1228"/>
      <c r="Q17" s="940"/>
      <c r="R17" s="594"/>
      <c r="S17" s="1194"/>
      <c r="U17" s="966"/>
    </row>
    <row r="18" spans="1:21" s="1158" customFormat="1" ht="24" customHeight="1">
      <c r="A18" s="965"/>
      <c r="B18" s="966"/>
      <c r="C18" s="1171" t="s">
        <v>12</v>
      </c>
      <c r="D18" s="1171"/>
      <c r="E18" s="1171"/>
      <c r="F18" s="1171"/>
      <c r="G18" s="314"/>
      <c r="H18" s="314"/>
      <c r="I18" s="314"/>
      <c r="J18" s="314"/>
      <c r="K18" s="314"/>
      <c r="L18" s="314"/>
      <c r="M18" s="1103"/>
      <c r="N18" s="1103"/>
      <c r="O18" s="1155"/>
      <c r="P18" s="1228">
        <f>P19+P25</f>
        <v>1905000</v>
      </c>
      <c r="Q18" s="940"/>
      <c r="R18" s="594"/>
      <c r="S18" s="1188" t="s">
        <v>1649</v>
      </c>
      <c r="U18" s="966"/>
    </row>
    <row r="19" spans="1:21" s="1158" customFormat="1" ht="24" customHeight="1">
      <c r="A19" s="1105"/>
      <c r="B19" s="1106"/>
      <c r="C19" s="1171" t="s">
        <v>101</v>
      </c>
      <c r="D19" s="1104"/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4"/>
      <c r="P19" s="1439">
        <f>SUM(P20:P24)</f>
        <v>1500000</v>
      </c>
      <c r="Q19" s="940"/>
      <c r="R19" s="594"/>
      <c r="S19" s="1795" t="s">
        <v>1771</v>
      </c>
      <c r="U19" s="966"/>
    </row>
    <row r="20" spans="1:21" s="1158" customFormat="1" ht="24" customHeight="1">
      <c r="A20" s="1105"/>
      <c r="B20" s="1106"/>
      <c r="C20" s="1170" t="s">
        <v>1634</v>
      </c>
      <c r="D20" s="1104"/>
      <c r="E20" s="1104"/>
      <c r="F20" s="1104"/>
      <c r="G20" s="1104"/>
      <c r="H20" s="1178" t="s">
        <v>81</v>
      </c>
      <c r="I20" s="1183"/>
      <c r="J20" s="1183"/>
      <c r="K20" s="1180" t="s">
        <v>1635</v>
      </c>
      <c r="L20" s="1183">
        <v>1</v>
      </c>
      <c r="M20" s="1183">
        <v>10</v>
      </c>
      <c r="N20" s="1183">
        <v>7</v>
      </c>
      <c r="O20" s="1159">
        <v>60000</v>
      </c>
      <c r="P20" s="1159">
        <f>O20*N20*L20</f>
        <v>420000</v>
      </c>
      <c r="Q20" s="942"/>
      <c r="R20" s="942"/>
      <c r="S20" s="1796"/>
      <c r="U20" s="966"/>
    </row>
    <row r="21" spans="1:21" s="1158" customFormat="1" ht="24" customHeight="1">
      <c r="A21" s="1105"/>
      <c r="B21" s="1106"/>
      <c r="C21" s="1170" t="s">
        <v>1636</v>
      </c>
      <c r="D21" s="1104"/>
      <c r="E21" s="1104"/>
      <c r="F21" s="1104"/>
      <c r="G21" s="1104"/>
      <c r="H21" s="1178" t="s">
        <v>81</v>
      </c>
      <c r="I21" s="1183"/>
      <c r="J21" s="1183"/>
      <c r="K21" s="1181" t="s">
        <v>1635</v>
      </c>
      <c r="L21" s="1183">
        <v>1</v>
      </c>
      <c r="M21" s="1183">
        <v>7</v>
      </c>
      <c r="N21" s="1183">
        <v>4</v>
      </c>
      <c r="O21" s="1159">
        <v>60000</v>
      </c>
      <c r="P21" s="1159">
        <f t="shared" ref="P21:P24" si="0">O21*N21*L21</f>
        <v>240000</v>
      </c>
      <c r="Q21" s="942"/>
      <c r="R21" s="942"/>
      <c r="S21" s="1797"/>
      <c r="U21" s="966"/>
    </row>
    <row r="22" spans="1:21" s="1158" customFormat="1" ht="24" customHeight="1">
      <c r="A22" s="1105"/>
      <c r="B22" s="1106"/>
      <c r="C22" s="1170" t="s">
        <v>1637</v>
      </c>
      <c r="D22" s="1104"/>
      <c r="E22" s="1104"/>
      <c r="F22" s="1104"/>
      <c r="G22" s="1104"/>
      <c r="H22" s="1178" t="s">
        <v>81</v>
      </c>
      <c r="I22" s="1183"/>
      <c r="J22" s="1183"/>
      <c r="K22" s="1181" t="s">
        <v>1635</v>
      </c>
      <c r="L22" s="1183">
        <v>1</v>
      </c>
      <c r="M22" s="1183">
        <v>7</v>
      </c>
      <c r="N22" s="1183">
        <v>7</v>
      </c>
      <c r="O22" s="1159">
        <v>60000</v>
      </c>
      <c r="P22" s="1159">
        <f t="shared" si="0"/>
        <v>420000</v>
      </c>
      <c r="Q22" s="942"/>
      <c r="R22" s="942"/>
      <c r="S22" s="1794" t="s">
        <v>1630</v>
      </c>
      <c r="U22" s="966"/>
    </row>
    <row r="23" spans="1:21" s="1158" customFormat="1" ht="24" customHeight="1">
      <c r="A23" s="1105"/>
      <c r="B23" s="1106"/>
      <c r="C23" s="1170" t="s">
        <v>1651</v>
      </c>
      <c r="D23" s="1104"/>
      <c r="E23" s="1104"/>
      <c r="F23" s="1104"/>
      <c r="G23" s="1104"/>
      <c r="H23" s="1178" t="s">
        <v>472</v>
      </c>
      <c r="I23" s="1181" t="s">
        <v>1635</v>
      </c>
      <c r="J23" s="1183"/>
      <c r="K23" s="1183"/>
      <c r="L23" s="1183">
        <v>1</v>
      </c>
      <c r="M23" s="1183">
        <v>3</v>
      </c>
      <c r="N23" s="1183">
        <v>7</v>
      </c>
      <c r="O23" s="1159">
        <v>30000</v>
      </c>
      <c r="P23" s="1159">
        <f t="shared" si="0"/>
        <v>210000</v>
      </c>
      <c r="Q23" s="942"/>
      <c r="R23" s="942"/>
      <c r="S23" s="1794"/>
      <c r="U23" s="966"/>
    </row>
    <row r="24" spans="1:21" s="1158" customFormat="1" ht="24" customHeight="1">
      <c r="A24" s="1099"/>
      <c r="B24" s="1098"/>
      <c r="C24" s="1170" t="s">
        <v>1638</v>
      </c>
      <c r="D24" s="1104"/>
      <c r="E24" s="1104"/>
      <c r="F24" s="1104"/>
      <c r="G24" s="1104"/>
      <c r="H24" s="1178" t="s">
        <v>1639</v>
      </c>
      <c r="I24" s="1181" t="s">
        <v>1635</v>
      </c>
      <c r="J24" s="1183"/>
      <c r="K24" s="1182"/>
      <c r="L24" s="1183">
        <v>1</v>
      </c>
      <c r="M24" s="1183">
        <v>3</v>
      </c>
      <c r="N24" s="1183">
        <v>7</v>
      </c>
      <c r="O24" s="1159">
        <v>30000</v>
      </c>
      <c r="P24" s="1159">
        <f t="shared" si="0"/>
        <v>210000</v>
      </c>
      <c r="Q24" s="942"/>
      <c r="R24" s="942"/>
      <c r="S24" s="1538"/>
      <c r="U24" s="966"/>
    </row>
    <row r="25" spans="1:21" s="1158" customFormat="1" ht="24" customHeight="1">
      <c r="A25" s="1099"/>
      <c r="B25" s="1098"/>
      <c r="C25" s="1171" t="s">
        <v>112</v>
      </c>
      <c r="D25" s="1104"/>
      <c r="E25" s="1104"/>
      <c r="F25" s="1104"/>
      <c r="G25" s="1104"/>
      <c r="H25" s="1178"/>
      <c r="I25" s="1183"/>
      <c r="J25" s="1183"/>
      <c r="K25" s="1183"/>
      <c r="L25" s="1183"/>
      <c r="M25" s="1183"/>
      <c r="N25" s="1183"/>
      <c r="O25" s="1183"/>
      <c r="P25" s="1439">
        <f>SUM(P26:P27)</f>
        <v>405000</v>
      </c>
      <c r="Q25" s="942"/>
      <c r="R25" s="942"/>
      <c r="S25" s="1157"/>
      <c r="U25" s="966"/>
    </row>
    <row r="26" spans="1:21" s="1158" customFormat="1" ht="24" customHeight="1">
      <c r="A26" s="1099"/>
      <c r="B26" s="1098"/>
      <c r="C26" s="1170" t="s">
        <v>1640</v>
      </c>
      <c r="D26" s="1104"/>
      <c r="E26" s="1104"/>
      <c r="F26" s="1104"/>
      <c r="G26" s="1104"/>
      <c r="H26" s="1178" t="s">
        <v>114</v>
      </c>
      <c r="I26" s="1181" t="s">
        <v>1635</v>
      </c>
      <c r="J26" s="1183"/>
      <c r="K26" s="1183"/>
      <c r="L26" s="1183">
        <v>1</v>
      </c>
      <c r="M26" s="1183">
        <v>3</v>
      </c>
      <c r="N26" s="1183">
        <v>9</v>
      </c>
      <c r="O26" s="1159">
        <v>30000</v>
      </c>
      <c r="P26" s="1159">
        <f>O26*N26*L26</f>
        <v>270000</v>
      </c>
      <c r="Q26" s="942"/>
      <c r="R26" s="942"/>
      <c r="S26" s="1157"/>
      <c r="U26" s="966"/>
    </row>
    <row r="27" spans="1:21" s="1158" customFormat="1" ht="24" customHeight="1">
      <c r="A27" s="1099"/>
      <c r="B27" s="1098"/>
      <c r="C27" s="1170" t="s">
        <v>1641</v>
      </c>
      <c r="D27" s="1104"/>
      <c r="E27" s="1104"/>
      <c r="F27" s="1104"/>
      <c r="G27" s="1104"/>
      <c r="H27" s="1181" t="s">
        <v>114</v>
      </c>
      <c r="I27" s="1181" t="s">
        <v>1635</v>
      </c>
      <c r="J27" s="1183"/>
      <c r="K27" s="1183"/>
      <c r="L27" s="1183">
        <v>1</v>
      </c>
      <c r="M27" s="1183">
        <v>1</v>
      </c>
      <c r="N27" s="1183">
        <v>9</v>
      </c>
      <c r="O27" s="1159">
        <v>15000</v>
      </c>
      <c r="P27" s="1159">
        <f>O27*N27*L27</f>
        <v>135000</v>
      </c>
      <c r="Q27" s="942"/>
      <c r="R27" s="942"/>
      <c r="S27" s="1183"/>
      <c r="U27" s="966"/>
    </row>
    <row r="28" spans="1:21" s="1158" customFormat="1" ht="24" customHeight="1">
      <c r="A28" s="1101"/>
      <c r="B28" s="1102"/>
      <c r="C28" s="1171" t="s">
        <v>853</v>
      </c>
      <c r="D28" s="1104"/>
      <c r="E28" s="1104"/>
      <c r="F28" s="1104"/>
      <c r="G28" s="1104"/>
      <c r="H28" s="1104"/>
      <c r="I28" s="1104"/>
      <c r="J28" s="1104"/>
      <c r="K28" s="1104"/>
      <c r="L28" s="1183"/>
      <c r="M28" s="1183"/>
      <c r="N28" s="1183"/>
      <c r="O28" s="1183"/>
      <c r="P28" s="1439">
        <f>P29+P30+P33+P37+P38+P39</f>
        <v>2095000</v>
      </c>
      <c r="Q28" s="942"/>
      <c r="R28" s="942"/>
      <c r="S28" s="1183"/>
      <c r="U28" s="966"/>
    </row>
    <row r="29" spans="1:21" s="1158" customFormat="1" ht="22.5" customHeight="1">
      <c r="A29" s="1099"/>
      <c r="B29" s="1098"/>
      <c r="C29" s="1196" t="s">
        <v>1652</v>
      </c>
      <c r="D29" s="1155"/>
      <c r="E29" s="1155"/>
      <c r="F29" s="1155"/>
      <c r="G29" s="1155"/>
      <c r="H29" s="1155"/>
      <c r="I29" s="1155"/>
      <c r="J29" s="1155"/>
      <c r="K29" s="1155"/>
      <c r="L29" s="1183"/>
      <c r="M29" s="1183"/>
      <c r="N29" s="1182" t="s">
        <v>432</v>
      </c>
      <c r="O29" s="1182"/>
      <c r="P29" s="1536">
        <v>1000000</v>
      </c>
      <c r="Q29" s="942"/>
      <c r="R29" s="942"/>
      <c r="S29" s="1194"/>
      <c r="U29" s="966"/>
    </row>
    <row r="30" spans="1:21" s="1158" customFormat="1" ht="24" customHeight="1">
      <c r="A30" s="1099"/>
      <c r="B30" s="1098"/>
      <c r="C30" s="1171" t="s">
        <v>1653</v>
      </c>
      <c r="D30" s="1155"/>
      <c r="E30" s="1155"/>
      <c r="F30" s="1155"/>
      <c r="G30" s="1155"/>
      <c r="H30" s="1155"/>
      <c r="I30" s="1155"/>
      <c r="J30" s="1155"/>
      <c r="K30" s="1155"/>
      <c r="L30" s="1183"/>
      <c r="M30" s="1183"/>
      <c r="N30" s="1183"/>
      <c r="O30" s="1183"/>
      <c r="P30" s="1439">
        <f>SUM(P31:P32)</f>
        <v>255000</v>
      </c>
      <c r="Q30" s="942"/>
      <c r="R30" s="942"/>
      <c r="S30" s="1187" t="s">
        <v>1631</v>
      </c>
      <c r="U30" s="966"/>
    </row>
    <row r="31" spans="1:21" s="1158" customFormat="1" ht="24" customHeight="1">
      <c r="A31" s="1099"/>
      <c r="B31" s="1098"/>
      <c r="C31" s="1176" t="s">
        <v>1642</v>
      </c>
      <c r="D31" s="1155"/>
      <c r="E31" s="1155"/>
      <c r="F31" s="1155"/>
      <c r="G31" s="1155"/>
      <c r="H31" s="1155"/>
      <c r="I31" s="1155"/>
      <c r="J31" s="1155"/>
      <c r="K31" s="1155"/>
      <c r="L31" s="1184">
        <v>300</v>
      </c>
      <c r="M31" s="1181" t="s">
        <v>19</v>
      </c>
      <c r="N31" s="1183"/>
      <c r="O31" s="1183">
        <v>200</v>
      </c>
      <c r="P31" s="1159">
        <f>O31*L31</f>
        <v>60000</v>
      </c>
      <c r="Q31" s="942"/>
      <c r="R31" s="942"/>
      <c r="S31" s="1794" t="s">
        <v>1632</v>
      </c>
      <c r="U31" s="966"/>
    </row>
    <row r="32" spans="1:21" s="1158" customFormat="1" ht="24" customHeight="1">
      <c r="A32" s="1099"/>
      <c r="B32" s="1098"/>
      <c r="C32" s="1177" t="s">
        <v>1643</v>
      </c>
      <c r="D32" s="1155"/>
      <c r="E32" s="1155"/>
      <c r="F32" s="1155"/>
      <c r="G32" s="1155"/>
      <c r="H32" s="1155"/>
      <c r="I32" s="1155"/>
      <c r="J32" s="1155"/>
      <c r="K32" s="1155"/>
      <c r="L32" s="1182">
        <v>300</v>
      </c>
      <c r="M32" s="1181" t="s">
        <v>361</v>
      </c>
      <c r="N32" s="1183"/>
      <c r="O32" s="1183">
        <v>650</v>
      </c>
      <c r="P32" s="1159">
        <f>O32*L32</f>
        <v>195000</v>
      </c>
      <c r="Q32" s="942"/>
      <c r="R32" s="942"/>
      <c r="S32" s="1794"/>
      <c r="U32" s="966"/>
    </row>
    <row r="33" spans="1:21" s="1158" customFormat="1" ht="24" customHeight="1">
      <c r="A33" s="1099"/>
      <c r="B33" s="1098"/>
      <c r="C33" s="1171" t="s">
        <v>1654</v>
      </c>
      <c r="D33" s="1186"/>
      <c r="E33" s="1186"/>
      <c r="F33" s="1186"/>
      <c r="G33" s="1155"/>
      <c r="H33" s="1155"/>
      <c r="I33" s="1155"/>
      <c r="J33" s="1155"/>
      <c r="K33" s="1155"/>
      <c r="L33" s="1183"/>
      <c r="M33" s="1183"/>
      <c r="N33" s="1183"/>
      <c r="O33" s="1183"/>
      <c r="P33" s="1439">
        <f>SUM(P34:P36)</f>
        <v>35560</v>
      </c>
      <c r="Q33" s="942"/>
      <c r="R33" s="942"/>
      <c r="S33" s="1794"/>
      <c r="U33" s="966"/>
    </row>
    <row r="34" spans="1:21" s="1158" customFormat="1" ht="24" customHeight="1">
      <c r="A34" s="1099"/>
      <c r="B34" s="1098"/>
      <c r="C34" s="1156" t="s">
        <v>1644</v>
      </c>
      <c r="D34" s="1186"/>
      <c r="E34" s="1186"/>
      <c r="F34" s="1186"/>
      <c r="G34" s="1155"/>
      <c r="H34" s="1155"/>
      <c r="I34" s="1155"/>
      <c r="J34" s="1155"/>
      <c r="K34" s="1155"/>
      <c r="L34" s="1183"/>
      <c r="M34" s="1183"/>
      <c r="N34" s="1183">
        <v>7</v>
      </c>
      <c r="O34" s="1159">
        <v>3000</v>
      </c>
      <c r="P34" s="1159">
        <f>O34*N34</f>
        <v>21000</v>
      </c>
      <c r="Q34" s="942"/>
      <c r="R34" s="942"/>
      <c r="S34" s="1794"/>
      <c r="U34" s="966"/>
    </row>
    <row r="35" spans="1:21" s="1158" customFormat="1" ht="24" customHeight="1">
      <c r="A35" s="1099"/>
      <c r="B35" s="1098"/>
      <c r="C35" s="1156" t="s">
        <v>1645</v>
      </c>
      <c r="D35" s="1104"/>
      <c r="E35" s="1104"/>
      <c r="F35" s="1104"/>
      <c r="G35" s="1104"/>
      <c r="H35" s="1104"/>
      <c r="I35" s="1104"/>
      <c r="J35" s="1104"/>
      <c r="K35" s="1104"/>
      <c r="L35" s="1183">
        <v>2</v>
      </c>
      <c r="M35" s="1183"/>
      <c r="N35" s="1183">
        <v>7</v>
      </c>
      <c r="O35" s="1183">
        <v>800</v>
      </c>
      <c r="P35" s="1159">
        <f>O35*N35*L35</f>
        <v>11200</v>
      </c>
      <c r="Q35" s="942"/>
      <c r="R35" s="942"/>
      <c r="S35" s="1794" t="s">
        <v>1633</v>
      </c>
      <c r="U35" s="966"/>
    </row>
    <row r="36" spans="1:21" s="1158" customFormat="1" ht="24" customHeight="1">
      <c r="A36" s="1099"/>
      <c r="B36" s="1098"/>
      <c r="C36" s="1156" t="s">
        <v>1646</v>
      </c>
      <c r="D36" s="1104"/>
      <c r="E36" s="1104"/>
      <c r="F36" s="1104"/>
      <c r="G36" s="1104"/>
      <c r="H36" s="1104"/>
      <c r="I36" s="1104"/>
      <c r="J36" s="1104"/>
      <c r="K36" s="1104"/>
      <c r="L36" s="1183">
        <v>2</v>
      </c>
      <c r="M36" s="1183"/>
      <c r="N36" s="1183">
        <v>7</v>
      </c>
      <c r="O36" s="1183">
        <v>240</v>
      </c>
      <c r="P36" s="1159">
        <f>O36*N36*L36</f>
        <v>3360</v>
      </c>
      <c r="Q36" s="942"/>
      <c r="R36" s="942"/>
      <c r="S36" s="1794"/>
      <c r="U36" s="966"/>
    </row>
    <row r="37" spans="1:21" s="1158" customFormat="1" ht="24" customHeight="1">
      <c r="A37" s="1099"/>
      <c r="B37" s="1098"/>
      <c r="C37" s="1440" t="s">
        <v>1655</v>
      </c>
      <c r="D37" s="1104"/>
      <c r="E37" s="1104"/>
      <c r="F37" s="1104"/>
      <c r="G37" s="1104"/>
      <c r="H37" s="1104"/>
      <c r="I37" s="1104"/>
      <c r="J37" s="1104"/>
      <c r="K37" s="1104"/>
      <c r="L37" s="1182">
        <v>3</v>
      </c>
      <c r="M37" s="1183"/>
      <c r="N37" s="1182" t="s">
        <v>359</v>
      </c>
      <c r="O37" s="1159">
        <v>50000</v>
      </c>
      <c r="P37" s="1439">
        <f>O37*L37</f>
        <v>150000</v>
      </c>
      <c r="Q37" s="942"/>
      <c r="R37" s="942"/>
      <c r="S37" s="1794"/>
      <c r="U37" s="966"/>
    </row>
    <row r="38" spans="1:21" s="1158" customFormat="1" ht="24" customHeight="1">
      <c r="A38" s="1099"/>
      <c r="B38" s="1098"/>
      <c r="C38" s="1441" t="s">
        <v>1656</v>
      </c>
      <c r="D38" s="1104"/>
      <c r="E38" s="1104"/>
      <c r="F38" s="1104"/>
      <c r="G38" s="1104"/>
      <c r="H38" s="1104"/>
      <c r="I38" s="1104"/>
      <c r="J38" s="1104"/>
      <c r="K38" s="1104"/>
      <c r="L38" s="1183">
        <v>500</v>
      </c>
      <c r="M38" s="1183"/>
      <c r="N38" s="1183"/>
      <c r="O38" s="1159">
        <v>1000</v>
      </c>
      <c r="P38" s="1439">
        <f>O38*L38</f>
        <v>500000</v>
      </c>
      <c r="Q38" s="942"/>
      <c r="R38" s="942"/>
      <c r="S38" s="1794"/>
      <c r="U38" s="966"/>
    </row>
    <row r="39" spans="1:21" s="1158" customFormat="1" ht="24" customHeight="1">
      <c r="A39" s="1099"/>
      <c r="B39" s="1098"/>
      <c r="C39" s="1171" t="s">
        <v>1657</v>
      </c>
      <c r="D39" s="1104"/>
      <c r="E39" s="1104"/>
      <c r="F39" s="1104"/>
      <c r="G39" s="1104"/>
      <c r="H39" s="1104"/>
      <c r="I39" s="1104"/>
      <c r="J39" s="1104"/>
      <c r="K39" s="1155"/>
      <c r="L39" s="1183"/>
      <c r="M39" s="1183"/>
      <c r="N39" s="1183"/>
      <c r="O39" s="1183"/>
      <c r="P39" s="1439">
        <f>SUM(P40:P41)</f>
        <v>154440</v>
      </c>
      <c r="Q39" s="942"/>
      <c r="R39" s="942"/>
      <c r="S39" s="1194"/>
      <c r="U39" s="966"/>
    </row>
    <row r="40" spans="1:21" s="1158" customFormat="1" ht="24" customHeight="1">
      <c r="A40" s="1099"/>
      <c r="B40" s="1098"/>
      <c r="C40" s="1156" t="s">
        <v>1647</v>
      </c>
      <c r="D40" s="1104"/>
      <c r="E40" s="1104"/>
      <c r="F40" s="1104"/>
      <c r="G40" s="1104"/>
      <c r="H40" s="1104"/>
      <c r="I40" s="1104"/>
      <c r="J40" s="1104"/>
      <c r="K40" s="1104"/>
      <c r="L40" s="1159">
        <v>1000</v>
      </c>
      <c r="M40" s="1183"/>
      <c r="N40" s="1183"/>
      <c r="O40" s="1183">
        <v>30</v>
      </c>
      <c r="P40" s="1159">
        <f>O40*L40</f>
        <v>30000</v>
      </c>
      <c r="Q40" s="943"/>
      <c r="R40" s="943"/>
      <c r="S40" s="1195"/>
      <c r="U40" s="966"/>
    </row>
    <row r="41" spans="1:21" s="1158" customFormat="1" ht="24" customHeight="1">
      <c r="A41" s="1099"/>
      <c r="B41" s="1098"/>
      <c r="C41" s="1103" t="s">
        <v>1648</v>
      </c>
      <c r="D41" s="1104"/>
      <c r="E41" s="1104"/>
      <c r="F41" s="1104"/>
      <c r="G41" s="1104"/>
      <c r="H41" s="1104"/>
      <c r="I41" s="1104"/>
      <c r="J41" s="1104"/>
      <c r="K41" s="1104"/>
      <c r="L41" s="1183"/>
      <c r="M41" s="1183"/>
      <c r="N41" s="1182" t="s">
        <v>432</v>
      </c>
      <c r="O41" s="1183"/>
      <c r="P41" s="1159">
        <v>124440</v>
      </c>
      <c r="Q41" s="943"/>
      <c r="R41" s="943"/>
      <c r="S41" s="1195"/>
      <c r="U41" s="966"/>
    </row>
    <row r="42" spans="1:21" ht="21.75">
      <c r="A42" s="1101"/>
      <c r="B42" s="1102"/>
      <c r="C42" s="1172"/>
      <c r="D42" s="1168"/>
      <c r="E42" s="1168"/>
      <c r="F42" s="1168"/>
      <c r="G42" s="1168"/>
      <c r="H42" s="1168"/>
      <c r="I42" s="1168"/>
      <c r="J42" s="1168"/>
      <c r="K42" s="1168"/>
      <c r="L42" s="1185"/>
      <c r="M42" s="1185"/>
      <c r="N42" s="1185"/>
      <c r="O42" s="1185"/>
      <c r="P42" s="1185"/>
      <c r="Q42" s="943"/>
      <c r="R42" s="943"/>
      <c r="S42" s="1169"/>
      <c r="U42" s="966"/>
    </row>
    <row r="43" spans="1:21" ht="21.75">
      <c r="A43" s="1098"/>
      <c r="B43" s="1098"/>
      <c r="C43" s="1436"/>
      <c r="D43" s="1438"/>
      <c r="E43" s="1438"/>
      <c r="F43" s="1438"/>
      <c r="G43" s="1438"/>
      <c r="H43" s="1438"/>
      <c r="I43" s="1438"/>
      <c r="J43" s="1438"/>
      <c r="K43" s="1438"/>
      <c r="L43" s="1438"/>
      <c r="M43" s="1438"/>
      <c r="N43" s="1438"/>
      <c r="O43" s="1438"/>
      <c r="P43" s="1438"/>
      <c r="Q43" s="1437"/>
      <c r="R43" s="1437"/>
      <c r="S43" s="1173"/>
    </row>
    <row r="44" spans="1:21" s="1173" customFormat="1" ht="18.75">
      <c r="C44" s="347" t="s">
        <v>171</v>
      </c>
      <c r="D44" s="29" t="s">
        <v>172</v>
      </c>
      <c r="E44" s="29"/>
      <c r="F44" s="2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/>
    </row>
    <row r="45" spans="1:21" s="1173" customFormat="1" ht="18.75">
      <c r="D45" s="1173" t="s">
        <v>466</v>
      </c>
      <c r="S45"/>
    </row>
  </sheetData>
  <mergeCells count="21">
    <mergeCell ref="A2:S2"/>
    <mergeCell ref="S31:S34"/>
    <mergeCell ref="H7:R7"/>
    <mergeCell ref="A7:B10"/>
    <mergeCell ref="Q8:Q11"/>
    <mergeCell ref="R8:R11"/>
    <mergeCell ref="C7:C11"/>
    <mergeCell ref="D7:E8"/>
    <mergeCell ref="F7:G8"/>
    <mergeCell ref="I8:K10"/>
    <mergeCell ref="H8:H11"/>
    <mergeCell ref="A3:S3"/>
    <mergeCell ref="S22:S23"/>
    <mergeCell ref="S35:S38"/>
    <mergeCell ref="S19:S21"/>
    <mergeCell ref="P8:P11"/>
    <mergeCell ref="L8:L11"/>
    <mergeCell ref="M8:M11"/>
    <mergeCell ref="N8:N11"/>
    <mergeCell ref="S7:S11"/>
    <mergeCell ref="O8:O11"/>
  </mergeCells>
  <pageMargins left="0.19685039370078741" right="0.11811023622047245" top="0.74803149606299213" bottom="0.55118110236220474" header="0.31496062992125984" footer="0.31496062992125984"/>
  <pageSetup paperSize="9" scale="80" orientation="landscape" r:id="rId1"/>
  <headerFooter>
    <oddFooter>&amp;C&amp;P/2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82"/>
  <sheetViews>
    <sheetView topLeftCell="B11" zoomScale="140" zoomScaleNormal="140" zoomScaleSheetLayoutView="130" workbookViewId="0">
      <selection activeCell="I17" sqref="I17"/>
    </sheetView>
  </sheetViews>
  <sheetFormatPr defaultRowHeight="24"/>
  <cols>
    <col min="1" max="1" width="4.5" style="1243" customWidth="1"/>
    <col min="2" max="2" width="5" style="1243" customWidth="1"/>
    <col min="3" max="3" width="44.5" style="1238" customWidth="1"/>
    <col min="4" max="7" width="7.375" style="1238" customWidth="1"/>
    <col min="8" max="8" width="6.5" style="1238" customWidth="1"/>
    <col min="9" max="9" width="7.25" style="1238" customWidth="1"/>
    <col min="10" max="10" width="6.5" style="1238" customWidth="1"/>
    <col min="11" max="11" width="7.625" style="1238" customWidth="1"/>
    <col min="12" max="12" width="9.625" style="1531" customWidth="1"/>
    <col min="13" max="13" width="7.25" style="1278" customWidth="1"/>
    <col min="14" max="14" width="8.5" style="1278" customWidth="1"/>
    <col min="15" max="15" width="18.875" style="1238" customWidth="1"/>
    <col min="16" max="16384" width="9" style="1238"/>
  </cols>
  <sheetData>
    <row r="1" spans="1:15" ht="12.75" customHeight="1">
      <c r="A1" s="1236"/>
      <c r="B1" s="1236"/>
      <c r="C1" s="1237"/>
      <c r="D1" s="1237"/>
      <c r="E1" s="1237"/>
      <c r="F1" s="1237"/>
      <c r="G1" s="1237"/>
      <c r="H1" s="1237"/>
      <c r="I1" s="1237"/>
      <c r="J1" s="1237"/>
      <c r="K1" s="1237"/>
      <c r="L1" s="1546"/>
      <c r="M1" s="1238"/>
      <c r="N1" s="1238"/>
      <c r="O1" s="1237"/>
    </row>
    <row r="2" spans="1:15" ht="23.25">
      <c r="A2" s="1812" t="s">
        <v>1561</v>
      </c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1812"/>
    </row>
    <row r="3" spans="1:15" ht="20.25" customHeight="1">
      <c r="A3" s="1811" t="s">
        <v>85</v>
      </c>
      <c r="B3" s="1811"/>
      <c r="C3" s="1811"/>
      <c r="D3" s="1811"/>
      <c r="E3" s="1811"/>
      <c r="F3" s="1811"/>
      <c r="G3" s="1811"/>
      <c r="H3" s="1811"/>
      <c r="I3" s="1811"/>
      <c r="J3" s="1811"/>
      <c r="K3" s="1811"/>
      <c r="L3" s="1811"/>
      <c r="M3" s="1811"/>
      <c r="N3" s="1811"/>
      <c r="O3" s="1811"/>
    </row>
    <row r="4" spans="1:15" ht="22.5" customHeight="1">
      <c r="A4" s="1239" t="s">
        <v>0</v>
      </c>
      <c r="B4" s="1239"/>
      <c r="C4" s="1237"/>
      <c r="D4" s="1237"/>
      <c r="E4" s="1237"/>
      <c r="F4" s="1237"/>
      <c r="G4" s="1237"/>
      <c r="H4" s="1237"/>
      <c r="I4" s="1237"/>
      <c r="J4" s="1237"/>
      <c r="K4" s="1237"/>
      <c r="L4" s="1546"/>
      <c r="M4" s="1240"/>
      <c r="N4" s="1240"/>
      <c r="O4" s="1237"/>
    </row>
    <row r="5" spans="1:15" ht="23.25" customHeight="1">
      <c r="A5" s="1239" t="s">
        <v>1</v>
      </c>
      <c r="B5" s="1239"/>
      <c r="C5" s="1241"/>
      <c r="D5" s="1241"/>
      <c r="E5" s="1241"/>
      <c r="F5" s="1241"/>
      <c r="G5" s="1242"/>
      <c r="H5" s="1242"/>
      <c r="I5" s="1242"/>
      <c r="J5" s="1242"/>
      <c r="K5" s="1242"/>
      <c r="L5" s="1547"/>
      <c r="M5" s="1240"/>
      <c r="N5" s="1240"/>
      <c r="O5" s="1242"/>
    </row>
    <row r="6" spans="1:15" ht="17.25" customHeight="1">
      <c r="C6" s="1237"/>
      <c r="D6" s="1237"/>
      <c r="E6" s="1237"/>
      <c r="F6" s="1237"/>
      <c r="G6" s="1237"/>
      <c r="H6" s="1237"/>
      <c r="I6" s="1237"/>
      <c r="J6" s="1237"/>
      <c r="K6" s="1237"/>
      <c r="L6" s="1546"/>
      <c r="M6" s="1240"/>
      <c r="N6" s="1240"/>
      <c r="O6" s="1244" t="s">
        <v>1727</v>
      </c>
    </row>
    <row r="7" spans="1:15" ht="15.75" customHeight="1">
      <c r="A7" s="1807" t="s">
        <v>87</v>
      </c>
      <c r="B7" s="1808"/>
      <c r="C7" s="1803" t="s">
        <v>88</v>
      </c>
      <c r="D7" s="1804" t="s">
        <v>15</v>
      </c>
      <c r="E7" s="1804"/>
      <c r="F7" s="1804" t="s">
        <v>28</v>
      </c>
      <c r="G7" s="1804"/>
      <c r="H7" s="1814" t="s">
        <v>63</v>
      </c>
      <c r="I7" s="1815"/>
      <c r="J7" s="1815"/>
      <c r="K7" s="1815"/>
      <c r="L7" s="1815"/>
      <c r="M7" s="1815"/>
      <c r="N7" s="1816"/>
      <c r="O7" s="1803" t="s">
        <v>91</v>
      </c>
    </row>
    <row r="8" spans="1:15" ht="14.25">
      <c r="A8" s="1809"/>
      <c r="B8" s="1810"/>
      <c r="C8" s="1803"/>
      <c r="D8" s="1804"/>
      <c r="E8" s="1804"/>
      <c r="F8" s="1804"/>
      <c r="G8" s="1804"/>
      <c r="H8" s="1806" t="s">
        <v>175</v>
      </c>
      <c r="I8" s="1802" t="s">
        <v>92</v>
      </c>
      <c r="J8" s="1803" t="s">
        <v>93</v>
      </c>
      <c r="K8" s="1803" t="s">
        <v>94</v>
      </c>
      <c r="L8" s="1805" t="s">
        <v>718</v>
      </c>
      <c r="M8" s="1813" t="s">
        <v>89</v>
      </c>
      <c r="N8" s="1813" t="s">
        <v>90</v>
      </c>
      <c r="O8" s="1803"/>
    </row>
    <row r="9" spans="1:15" ht="19.5" customHeight="1">
      <c r="A9" s="1809"/>
      <c r="B9" s="1810"/>
      <c r="C9" s="1803"/>
      <c r="D9" s="1817" t="s">
        <v>4</v>
      </c>
      <c r="E9" s="1817" t="s">
        <v>5</v>
      </c>
      <c r="F9" s="1817" t="s">
        <v>4</v>
      </c>
      <c r="G9" s="1817" t="s">
        <v>6</v>
      </c>
      <c r="H9" s="1806" t="s">
        <v>95</v>
      </c>
      <c r="I9" s="1802"/>
      <c r="J9" s="1803"/>
      <c r="K9" s="1803"/>
      <c r="L9" s="1805"/>
      <c r="M9" s="1813"/>
      <c r="N9" s="1813"/>
      <c r="O9" s="1803"/>
    </row>
    <row r="10" spans="1:15" ht="17.25" customHeight="1">
      <c r="A10" s="1246" t="s">
        <v>96</v>
      </c>
      <c r="B10" s="1247" t="s">
        <v>97</v>
      </c>
      <c r="C10" s="1803"/>
      <c r="D10" s="1818"/>
      <c r="E10" s="1818"/>
      <c r="F10" s="1818"/>
      <c r="G10" s="1818"/>
      <c r="H10" s="1806" t="s">
        <v>719</v>
      </c>
      <c r="I10" s="1802"/>
      <c r="J10" s="1803"/>
      <c r="K10" s="1803"/>
      <c r="L10" s="1805"/>
      <c r="M10" s="1813"/>
      <c r="N10" s="1813"/>
      <c r="O10" s="1803"/>
    </row>
    <row r="11" spans="1:15" ht="17.25" customHeight="1" thickBot="1">
      <c r="A11" s="1248"/>
      <c r="B11" s="1249"/>
      <c r="C11" s="1250" t="s">
        <v>11</v>
      </c>
      <c r="D11" s="1250"/>
      <c r="E11" s="1250"/>
      <c r="F11" s="1250"/>
      <c r="G11" s="1251"/>
      <c r="H11" s="1251"/>
      <c r="I11" s="1251"/>
      <c r="J11" s="1251"/>
      <c r="K11" s="1251"/>
      <c r="L11" s="1548">
        <f>L17+L26</f>
        <v>12000000</v>
      </c>
      <c r="M11" s="1252"/>
      <c r="N11" s="1252"/>
      <c r="O11" s="1251"/>
    </row>
    <row r="12" spans="1:15" ht="18" customHeight="1" thickTop="1">
      <c r="A12" s="1287"/>
      <c r="B12" s="1253"/>
      <c r="C12" s="1254" t="s">
        <v>817</v>
      </c>
      <c r="D12" s="1255"/>
      <c r="E12" s="1255"/>
      <c r="F12" s="1255"/>
      <c r="G12" s="1256"/>
      <c r="H12" s="1256"/>
      <c r="I12" s="1256"/>
      <c r="J12" s="1256"/>
      <c r="K12" s="1256"/>
      <c r="L12" s="1549"/>
      <c r="M12" s="1257"/>
      <c r="N12" s="1257"/>
      <c r="O12" s="1256"/>
    </row>
    <row r="13" spans="1:15" ht="18" customHeight="1">
      <c r="A13" s="1258"/>
      <c r="B13" s="1259"/>
      <c r="C13" s="1260" t="s">
        <v>1722</v>
      </c>
      <c r="D13" s="1245"/>
      <c r="E13" s="1245"/>
      <c r="F13" s="1245"/>
      <c r="G13" s="1261"/>
      <c r="H13" s="1261"/>
      <c r="I13" s="1261"/>
      <c r="J13" s="1261"/>
      <c r="K13" s="1261"/>
      <c r="L13" s="1550"/>
      <c r="M13" s="1262"/>
      <c r="N13" s="1263"/>
      <c r="O13" s="1261"/>
    </row>
    <row r="14" spans="1:15" ht="18" customHeight="1">
      <c r="A14" s="1264"/>
      <c r="B14" s="1265"/>
      <c r="C14" s="1260" t="s">
        <v>875</v>
      </c>
      <c r="D14" s="1266"/>
      <c r="E14" s="1266"/>
      <c r="F14" s="1266"/>
      <c r="G14" s="1266"/>
      <c r="H14" s="1267"/>
      <c r="I14" s="1267"/>
      <c r="J14" s="1267"/>
      <c r="K14" s="1267"/>
      <c r="L14" s="946"/>
      <c r="M14" s="1269"/>
      <c r="N14" s="1270"/>
      <c r="O14" s="1266"/>
    </row>
    <row r="15" spans="1:15" ht="18" customHeight="1">
      <c r="A15" s="1264"/>
      <c r="B15" s="1265"/>
      <c r="C15" s="1271" t="s">
        <v>1776</v>
      </c>
      <c r="D15" s="1266"/>
      <c r="E15" s="1266"/>
      <c r="F15" s="1266"/>
      <c r="G15" s="1266"/>
      <c r="H15" s="1267"/>
      <c r="I15" s="1267"/>
      <c r="J15" s="1267"/>
      <c r="K15" s="1267"/>
      <c r="L15" s="946"/>
      <c r="M15" s="1269"/>
      <c r="N15" s="1270"/>
      <c r="O15" s="1280" t="s">
        <v>178</v>
      </c>
    </row>
    <row r="16" spans="1:15" ht="18" customHeight="1">
      <c r="A16" s="1264"/>
      <c r="B16" s="1265"/>
      <c r="C16" s="1271" t="s">
        <v>1735</v>
      </c>
      <c r="D16" s="1272"/>
      <c r="E16" s="1272"/>
      <c r="F16" s="1272"/>
      <c r="G16" s="1266"/>
      <c r="H16" s="1267"/>
      <c r="I16" s="1267"/>
      <c r="J16" s="1267"/>
      <c r="K16" s="1267"/>
      <c r="L16" s="1551"/>
      <c r="M16" s="1269"/>
      <c r="N16" s="1270"/>
      <c r="O16" s="1819" t="s">
        <v>1717</v>
      </c>
    </row>
    <row r="17" spans="1:15" ht="21.75" customHeight="1">
      <c r="A17" s="1274"/>
      <c r="B17" s="1275"/>
      <c r="C17" s="1273" t="s">
        <v>12</v>
      </c>
      <c r="D17" s="1273"/>
      <c r="E17" s="1273"/>
      <c r="F17" s="1273"/>
      <c r="G17" s="1268"/>
      <c r="H17" s="1268"/>
      <c r="I17" s="1266"/>
      <c r="J17" s="1266"/>
      <c r="K17" s="1267"/>
      <c r="L17" s="1551">
        <f>L18+L24</f>
        <v>5239000</v>
      </c>
      <c r="M17" s="1269"/>
      <c r="N17" s="1270"/>
      <c r="O17" s="1819"/>
    </row>
    <row r="18" spans="1:15" ht="21.75">
      <c r="A18" s="1274"/>
      <c r="B18" s="1275"/>
      <c r="C18" s="1297" t="s">
        <v>101</v>
      </c>
      <c r="D18" s="1267"/>
      <c r="E18" s="1267"/>
      <c r="F18" s="1267"/>
      <c r="G18" s="1267"/>
      <c r="H18" s="1267"/>
      <c r="I18" s="1267"/>
      <c r="J18" s="1267"/>
      <c r="K18" s="1267"/>
      <c r="L18" s="1551">
        <f>SUM(L19:L23)</f>
        <v>5104000</v>
      </c>
      <c r="M18" s="1269"/>
      <c r="N18" s="1270"/>
      <c r="O18" s="1819"/>
    </row>
    <row r="19" spans="1:15" ht="21.75">
      <c r="A19" s="1274"/>
      <c r="B19" s="1275"/>
      <c r="C19" s="1235" t="s">
        <v>1663</v>
      </c>
      <c r="D19" s="1267"/>
      <c r="E19" s="1267"/>
      <c r="F19" s="1267"/>
      <c r="G19" s="1267"/>
      <c r="H19" s="1268">
        <v>1</v>
      </c>
      <c r="I19" s="1266">
        <v>15</v>
      </c>
      <c r="J19" s="1266">
        <v>2</v>
      </c>
      <c r="K19" s="1233">
        <v>70000</v>
      </c>
      <c r="L19" s="1545">
        <f>K19*J19*H19*1.76</f>
        <v>246400</v>
      </c>
      <c r="M19" s="1269"/>
      <c r="N19" s="1270"/>
      <c r="O19" s="1819"/>
    </row>
    <row r="20" spans="1:15" ht="21.75" customHeight="1">
      <c r="A20" s="1274"/>
      <c r="B20" s="1275"/>
      <c r="C20" s="1235" t="s">
        <v>1664</v>
      </c>
      <c r="D20" s="1267"/>
      <c r="E20" s="1267"/>
      <c r="F20" s="1267"/>
      <c r="G20" s="1267"/>
      <c r="H20" s="1268">
        <v>1</v>
      </c>
      <c r="I20" s="1266">
        <v>10</v>
      </c>
      <c r="J20" s="1266">
        <v>4</v>
      </c>
      <c r="K20" s="1233">
        <v>60000</v>
      </c>
      <c r="L20" s="1545">
        <f t="shared" ref="L20:L23" si="0">K20*J20*H20*1.76</f>
        <v>422400</v>
      </c>
      <c r="M20" s="1269"/>
      <c r="N20" s="1270"/>
      <c r="O20" s="1819" t="s">
        <v>1665</v>
      </c>
    </row>
    <row r="21" spans="1:15" ht="21" customHeight="1">
      <c r="A21" s="1274"/>
      <c r="B21" s="1275"/>
      <c r="C21" s="1235" t="s">
        <v>1666</v>
      </c>
      <c r="D21" s="1267"/>
      <c r="E21" s="1267"/>
      <c r="F21" s="1267"/>
      <c r="G21" s="1267"/>
      <c r="H21" s="1268">
        <v>2</v>
      </c>
      <c r="I21" s="1266">
        <v>7</v>
      </c>
      <c r="J21" s="1266">
        <v>6</v>
      </c>
      <c r="K21" s="1233">
        <v>45000</v>
      </c>
      <c r="L21" s="1545">
        <f t="shared" si="0"/>
        <v>950400</v>
      </c>
      <c r="M21" s="1269"/>
      <c r="N21" s="1270"/>
      <c r="O21" s="1819"/>
    </row>
    <row r="22" spans="1:15" ht="21.75">
      <c r="A22" s="1276"/>
      <c r="B22" s="1277"/>
      <c r="C22" s="1235" t="s">
        <v>1667</v>
      </c>
      <c r="D22" s="1267"/>
      <c r="E22" s="1267"/>
      <c r="F22" s="1267"/>
      <c r="G22" s="1267"/>
      <c r="H22" s="1268">
        <v>2</v>
      </c>
      <c r="I22" s="1266">
        <v>7</v>
      </c>
      <c r="J22" s="1266">
        <v>6</v>
      </c>
      <c r="K22" s="1233">
        <v>45000</v>
      </c>
      <c r="L22" s="1545">
        <f t="shared" si="0"/>
        <v>950400</v>
      </c>
      <c r="M22" s="1269"/>
      <c r="N22" s="1270"/>
      <c r="O22" s="1819"/>
    </row>
    <row r="23" spans="1:15" ht="21.75">
      <c r="A23" s="1276"/>
      <c r="B23" s="1277"/>
      <c r="C23" s="1235" t="s">
        <v>1668</v>
      </c>
      <c r="D23" s="1267"/>
      <c r="E23" s="1267"/>
      <c r="F23" s="1267"/>
      <c r="G23" s="1267"/>
      <c r="H23" s="1268">
        <v>8</v>
      </c>
      <c r="I23" s="1266">
        <v>5</v>
      </c>
      <c r="J23" s="1266">
        <v>6</v>
      </c>
      <c r="K23" s="1233">
        <v>30000</v>
      </c>
      <c r="L23" s="1545">
        <f t="shared" si="0"/>
        <v>2534400</v>
      </c>
      <c r="M23" s="1269"/>
      <c r="N23" s="1270"/>
      <c r="O23" s="1819"/>
    </row>
    <row r="24" spans="1:15" ht="21.75">
      <c r="A24" s="1276"/>
      <c r="B24" s="1277"/>
      <c r="C24" s="1297" t="s">
        <v>112</v>
      </c>
      <c r="D24" s="1267"/>
      <c r="E24" s="1267"/>
      <c r="F24" s="1267"/>
      <c r="G24" s="1267"/>
      <c r="H24" s="1267"/>
      <c r="I24" s="1267"/>
      <c r="J24" s="1267"/>
      <c r="K24" s="1267"/>
      <c r="L24" s="1551">
        <f>SUM(L25)</f>
        <v>135000</v>
      </c>
      <c r="M24" s="1269"/>
      <c r="N24" s="1270"/>
      <c r="O24" s="1819"/>
    </row>
    <row r="25" spans="1:15" ht="21.75">
      <c r="A25" s="1276"/>
      <c r="B25" s="1277"/>
      <c r="C25" s="1235" t="s">
        <v>1772</v>
      </c>
      <c r="D25" s="1267"/>
      <c r="E25" s="1267"/>
      <c r="F25" s="1267"/>
      <c r="G25" s="1267"/>
      <c r="H25" s="1268">
        <v>1</v>
      </c>
      <c r="I25" s="1267"/>
      <c r="J25" s="1266">
        <v>9</v>
      </c>
      <c r="K25" s="1233">
        <v>15000</v>
      </c>
      <c r="L25" s="1545">
        <f>K25*J25*H25</f>
        <v>135000</v>
      </c>
      <c r="M25" s="1269"/>
      <c r="N25" s="1270"/>
      <c r="O25" s="1801" t="s">
        <v>1669</v>
      </c>
    </row>
    <row r="26" spans="1:15" ht="21.75" customHeight="1">
      <c r="A26" s="1276"/>
      <c r="B26" s="1277"/>
      <c r="C26" s="1297" t="s">
        <v>853</v>
      </c>
      <c r="D26" s="1267"/>
      <c r="E26" s="1267"/>
      <c r="F26" s="1267"/>
      <c r="G26" s="1267"/>
      <c r="H26" s="1268"/>
      <c r="I26" s="1267"/>
      <c r="J26" s="1267"/>
      <c r="K26" s="1267"/>
      <c r="L26" s="1551">
        <f>L27+L32+L40+L46+L49+L71+L76</f>
        <v>6761000</v>
      </c>
      <c r="M26" s="1269"/>
      <c r="N26" s="1270"/>
      <c r="O26" s="1801"/>
    </row>
    <row r="27" spans="1:15" ht="21.75" customHeight="1">
      <c r="A27" s="1276"/>
      <c r="B27" s="1277"/>
      <c r="C27" s="1261" t="s">
        <v>1718</v>
      </c>
      <c r="D27" s="1267"/>
      <c r="E27" s="1267"/>
      <c r="F27" s="1267"/>
      <c r="G27" s="1267"/>
      <c r="H27" s="1267"/>
      <c r="I27" s="1267"/>
      <c r="J27" s="1267"/>
      <c r="K27" s="1539"/>
      <c r="L27" s="1543">
        <f>SUM(L28:L31)</f>
        <v>100000</v>
      </c>
      <c r="M27" s="1269"/>
      <c r="N27" s="1270"/>
      <c r="O27" s="1801"/>
    </row>
    <row r="28" spans="1:15" ht="21.75">
      <c r="A28" s="1276"/>
      <c r="B28" s="1277"/>
      <c r="C28" s="1235" t="s">
        <v>1670</v>
      </c>
      <c r="D28" s="1267"/>
      <c r="E28" s="1267"/>
      <c r="F28" s="1267"/>
      <c r="G28" s="1267"/>
      <c r="H28" s="1290">
        <v>10</v>
      </c>
      <c r="I28" s="1290"/>
      <c r="J28" s="1290">
        <v>5</v>
      </c>
      <c r="K28" s="1540">
        <v>1200</v>
      </c>
      <c r="L28" s="1545">
        <f>K28*J28*H28</f>
        <v>60000</v>
      </c>
      <c r="M28" s="1269"/>
      <c r="N28" s="1270"/>
      <c r="O28" s="1801"/>
    </row>
    <row r="29" spans="1:15" ht="21.75">
      <c r="A29" s="1443"/>
      <c r="B29" s="1444"/>
      <c r="C29" s="1235" t="s">
        <v>1671</v>
      </c>
      <c r="D29" s="1267"/>
      <c r="E29" s="1267"/>
      <c r="F29" s="1267"/>
      <c r="G29" s="1267"/>
      <c r="H29" s="1290">
        <v>10</v>
      </c>
      <c r="I29" s="1290"/>
      <c r="J29" s="1290">
        <v>5</v>
      </c>
      <c r="K29" s="1540">
        <v>600</v>
      </c>
      <c r="L29" s="1545">
        <f>K29*J29*H29</f>
        <v>30000</v>
      </c>
      <c r="M29" s="1269"/>
      <c r="N29" s="1270"/>
      <c r="O29" s="1801"/>
    </row>
    <row r="30" spans="1:15" ht="21.75" customHeight="1">
      <c r="A30" s="1276"/>
      <c r="B30" s="1277"/>
      <c r="C30" s="1235" t="s">
        <v>1672</v>
      </c>
      <c r="D30" s="1267"/>
      <c r="E30" s="1267"/>
      <c r="F30" s="1267"/>
      <c r="G30" s="1267"/>
      <c r="H30" s="1290"/>
      <c r="I30" s="1290"/>
      <c r="J30" s="1290"/>
      <c r="K30" s="1540">
        <v>5000</v>
      </c>
      <c r="L30" s="1545">
        <f>K30</f>
        <v>5000</v>
      </c>
      <c r="M30" s="1269"/>
      <c r="N30" s="1270"/>
      <c r="O30" s="1442"/>
    </row>
    <row r="31" spans="1:15" ht="21.75">
      <c r="A31" s="1276"/>
      <c r="B31" s="1277"/>
      <c r="C31" s="1235" t="s">
        <v>1673</v>
      </c>
      <c r="D31" s="1267"/>
      <c r="E31" s="1267"/>
      <c r="F31" s="1267"/>
      <c r="G31" s="1267"/>
      <c r="H31" s="1290">
        <v>10</v>
      </c>
      <c r="I31" s="1290"/>
      <c r="J31" s="1290">
        <v>5</v>
      </c>
      <c r="K31" s="1540">
        <v>100</v>
      </c>
      <c r="L31" s="1545">
        <f>K31*J31*H31</f>
        <v>5000</v>
      </c>
      <c r="M31" s="1269"/>
      <c r="N31" s="1270"/>
      <c r="O31" s="1442"/>
    </row>
    <row r="32" spans="1:15" ht="21.75">
      <c r="A32" s="1276"/>
      <c r="B32" s="1277"/>
      <c r="C32" s="1261" t="s">
        <v>1719</v>
      </c>
      <c r="D32" s="1267"/>
      <c r="E32" s="1267"/>
      <c r="F32" s="1267"/>
      <c r="G32" s="1267"/>
      <c r="H32" s="1267"/>
      <c r="I32" s="1267"/>
      <c r="J32" s="1267"/>
      <c r="K32" s="1267"/>
      <c r="L32" s="1543">
        <f>SUM(L33:L39)</f>
        <v>412000</v>
      </c>
      <c r="M32" s="1269"/>
      <c r="N32" s="1270"/>
      <c r="O32" s="1442"/>
    </row>
    <row r="33" spans="1:15" ht="21.75" customHeight="1">
      <c r="A33" s="1276"/>
      <c r="B33" s="1277"/>
      <c r="C33" s="1235" t="s">
        <v>1716</v>
      </c>
      <c r="D33" s="1267"/>
      <c r="E33" s="1267"/>
      <c r="F33" s="1267"/>
      <c r="G33" s="1267"/>
      <c r="H33" s="1268">
        <v>4</v>
      </c>
      <c r="I33" s="1266"/>
      <c r="J33" s="1266"/>
      <c r="K33" s="1541">
        <v>10000</v>
      </c>
      <c r="L33" s="1545">
        <f>K33*H33</f>
        <v>40000</v>
      </c>
      <c r="M33" s="1269"/>
      <c r="N33" s="1270"/>
      <c r="O33" s="1280" t="s">
        <v>826</v>
      </c>
    </row>
    <row r="34" spans="1:15" ht="21.75" customHeight="1">
      <c r="A34" s="1276"/>
      <c r="B34" s="1277"/>
      <c r="C34" s="1235" t="s">
        <v>1676</v>
      </c>
      <c r="D34" s="1267"/>
      <c r="E34" s="1267"/>
      <c r="F34" s="1267"/>
      <c r="G34" s="1267"/>
      <c r="H34" s="1268">
        <v>4</v>
      </c>
      <c r="I34" s="1266"/>
      <c r="J34" s="1266">
        <v>4</v>
      </c>
      <c r="K34" s="1541">
        <v>10000</v>
      </c>
      <c r="L34" s="1545">
        <f>K34*J34*H34</f>
        <v>160000</v>
      </c>
      <c r="M34" s="1269"/>
      <c r="N34" s="1270"/>
      <c r="O34" s="1801" t="s">
        <v>1674</v>
      </c>
    </row>
    <row r="35" spans="1:15" ht="21.75">
      <c r="A35" s="1276"/>
      <c r="B35" s="1277"/>
      <c r="C35" s="1235" t="s">
        <v>1677</v>
      </c>
      <c r="D35" s="1267"/>
      <c r="E35" s="1267"/>
      <c r="F35" s="1267"/>
      <c r="G35" s="1267"/>
      <c r="H35" s="1268">
        <v>4</v>
      </c>
      <c r="I35" s="1266"/>
      <c r="J35" s="1266">
        <v>1</v>
      </c>
      <c r="K35" s="1541">
        <v>1200</v>
      </c>
      <c r="L35" s="1545">
        <f>K35*J35*H35</f>
        <v>4800</v>
      </c>
      <c r="M35" s="1269"/>
      <c r="N35" s="1270"/>
      <c r="O35" s="1801"/>
    </row>
    <row r="36" spans="1:15" ht="21.75">
      <c r="A36" s="1276"/>
      <c r="B36" s="1277"/>
      <c r="C36" s="1235" t="s">
        <v>1679</v>
      </c>
      <c r="D36" s="1267"/>
      <c r="E36" s="1267"/>
      <c r="F36" s="1267"/>
      <c r="G36" s="1267"/>
      <c r="H36" s="1268">
        <v>4</v>
      </c>
      <c r="I36" s="1266"/>
      <c r="J36" s="1266">
        <v>4</v>
      </c>
      <c r="K36" s="1541">
        <v>1200</v>
      </c>
      <c r="L36" s="1545">
        <f>K36*J36*H36</f>
        <v>19200</v>
      </c>
      <c r="M36" s="1269"/>
      <c r="N36" s="1270"/>
      <c r="O36" s="1801"/>
    </row>
    <row r="37" spans="1:15" ht="21.75">
      <c r="A37" s="1276"/>
      <c r="B37" s="1277"/>
      <c r="C37" s="1235" t="s">
        <v>1680</v>
      </c>
      <c r="D37" s="1267"/>
      <c r="E37" s="1267"/>
      <c r="F37" s="1267"/>
      <c r="G37" s="1267"/>
      <c r="H37" s="1268">
        <v>4</v>
      </c>
      <c r="I37" s="1266"/>
      <c r="J37" s="1266"/>
      <c r="K37" s="1541">
        <v>10000</v>
      </c>
      <c r="L37" s="1545">
        <f t="shared" ref="L37" si="1">K37*H37</f>
        <v>40000</v>
      </c>
      <c r="M37" s="1269"/>
      <c r="N37" s="1270"/>
      <c r="O37" s="1801"/>
    </row>
    <row r="38" spans="1:15" ht="21.75" customHeight="1">
      <c r="A38" s="1276"/>
      <c r="B38" s="1277"/>
      <c r="C38" s="1235" t="s">
        <v>1681</v>
      </c>
      <c r="D38" s="1267"/>
      <c r="E38" s="1267"/>
      <c r="F38" s="1267"/>
      <c r="G38" s="1267"/>
      <c r="H38" s="1268">
        <v>4</v>
      </c>
      <c r="I38" s="1266"/>
      <c r="J38" s="1266">
        <v>100</v>
      </c>
      <c r="K38" s="1541">
        <v>70</v>
      </c>
      <c r="L38" s="1545">
        <f>K38*J38*H38</f>
        <v>28000</v>
      </c>
      <c r="M38" s="1269"/>
      <c r="N38" s="1270"/>
      <c r="O38" s="1801" t="s">
        <v>1675</v>
      </c>
    </row>
    <row r="39" spans="1:15" ht="21.75">
      <c r="A39" s="1276"/>
      <c r="B39" s="1276"/>
      <c r="C39" s="1284" t="s">
        <v>1682</v>
      </c>
      <c r="D39" s="1267"/>
      <c r="E39" s="1267"/>
      <c r="F39" s="1267"/>
      <c r="G39" s="1267"/>
      <c r="H39" s="1268"/>
      <c r="I39" s="1266"/>
      <c r="J39" s="1266">
        <v>200</v>
      </c>
      <c r="K39" s="1266">
        <v>600</v>
      </c>
      <c r="L39" s="1545">
        <f>K39*J39</f>
        <v>120000</v>
      </c>
      <c r="M39" s="1269"/>
      <c r="N39" s="1270"/>
      <c r="O39" s="1801"/>
    </row>
    <row r="40" spans="1:15" ht="21.75">
      <c r="A40" s="1276"/>
      <c r="B40" s="1276"/>
      <c r="C40" s="1283" t="s">
        <v>1720</v>
      </c>
      <c r="D40" s="1267"/>
      <c r="E40" s="1267"/>
      <c r="F40" s="1267"/>
      <c r="G40" s="1267"/>
      <c r="H40" s="1267"/>
      <c r="I40" s="1267"/>
      <c r="J40" s="1267"/>
      <c r="K40" s="1267"/>
      <c r="L40" s="1543">
        <f>SUM(L41:L45)</f>
        <v>2219200</v>
      </c>
      <c r="M40" s="1269"/>
      <c r="N40" s="1270"/>
      <c r="O40" s="1801"/>
    </row>
    <row r="41" spans="1:15" ht="18.75" customHeight="1">
      <c r="A41" s="1286"/>
      <c r="B41" s="1286"/>
      <c r="C41" s="1284" t="s">
        <v>1683</v>
      </c>
      <c r="D41" s="1267"/>
      <c r="E41" s="1267"/>
      <c r="F41" s="1267"/>
      <c r="G41" s="1267"/>
      <c r="H41" s="1290">
        <v>3</v>
      </c>
      <c r="I41" s="1290"/>
      <c r="J41" s="1290">
        <v>100</v>
      </c>
      <c r="K41" s="1540">
        <v>2500</v>
      </c>
      <c r="L41" s="1545">
        <f>K41*J41*H41</f>
        <v>750000</v>
      </c>
      <c r="M41" s="1269"/>
      <c r="N41" s="1270"/>
      <c r="O41" s="1801"/>
    </row>
    <row r="42" spans="1:15" ht="21.75">
      <c r="A42" s="1286"/>
      <c r="B42" s="1286"/>
      <c r="C42" s="1284" t="s">
        <v>1684</v>
      </c>
      <c r="D42" s="1267"/>
      <c r="E42" s="1267"/>
      <c r="F42" s="1267"/>
      <c r="G42" s="1267"/>
      <c r="H42" s="1290">
        <v>4</v>
      </c>
      <c r="I42" s="1290"/>
      <c r="J42" s="1290">
        <v>100</v>
      </c>
      <c r="K42" s="1540">
        <v>1200</v>
      </c>
      <c r="L42" s="1545">
        <f>K42*J42*H42</f>
        <v>480000</v>
      </c>
      <c r="M42" s="1269"/>
      <c r="N42" s="1270"/>
      <c r="O42" s="1801" t="s">
        <v>1678</v>
      </c>
    </row>
    <row r="43" spans="1:15" ht="21.75">
      <c r="A43" s="1286"/>
      <c r="B43" s="1286"/>
      <c r="C43" s="1284" t="s">
        <v>1685</v>
      </c>
      <c r="D43" s="1267"/>
      <c r="E43" s="1267"/>
      <c r="F43" s="1267"/>
      <c r="G43" s="1267"/>
      <c r="H43" s="1290">
        <v>8</v>
      </c>
      <c r="I43" s="1290"/>
      <c r="J43" s="1290">
        <v>100</v>
      </c>
      <c r="K43" s="1540">
        <v>1200</v>
      </c>
      <c r="L43" s="1545">
        <f>K43*J43*H43</f>
        <v>960000</v>
      </c>
      <c r="M43" s="1269"/>
      <c r="N43" s="1270"/>
      <c r="O43" s="1801"/>
    </row>
    <row r="44" spans="1:15" ht="24" customHeight="1">
      <c r="A44" s="1286"/>
      <c r="B44" s="1286"/>
      <c r="C44" s="1284" t="s">
        <v>1686</v>
      </c>
      <c r="D44" s="1267"/>
      <c r="E44" s="1267"/>
      <c r="F44" s="1267"/>
      <c r="G44" s="1267"/>
      <c r="H44" s="1290"/>
      <c r="I44" s="1290"/>
      <c r="J44" s="1290"/>
      <c r="K44" s="1540">
        <v>10000</v>
      </c>
      <c r="L44" s="1545">
        <f>K44</f>
        <v>10000</v>
      </c>
      <c r="M44" s="1269"/>
      <c r="N44" s="1270"/>
      <c r="O44" s="1801"/>
    </row>
    <row r="45" spans="1:15" ht="21.75">
      <c r="A45" s="1286"/>
      <c r="B45" s="1286"/>
      <c r="C45" s="1284" t="s">
        <v>1687</v>
      </c>
      <c r="D45" s="1267"/>
      <c r="E45" s="1267"/>
      <c r="F45" s="1267"/>
      <c r="G45" s="1267"/>
      <c r="H45" s="1290">
        <v>2</v>
      </c>
      <c r="I45" s="1290"/>
      <c r="J45" s="1290">
        <v>8</v>
      </c>
      <c r="K45" s="1540">
        <v>1200</v>
      </c>
      <c r="L45" s="1545">
        <f>K45*J45*H45</f>
        <v>19200</v>
      </c>
      <c r="M45" s="1269"/>
      <c r="N45" s="1270"/>
      <c r="O45" s="1282"/>
    </row>
    <row r="46" spans="1:15" ht="21.75">
      <c r="A46" s="1286"/>
      <c r="B46" s="1286"/>
      <c r="C46" s="1285" t="s">
        <v>1688</v>
      </c>
      <c r="D46" s="1267"/>
      <c r="E46" s="1267"/>
      <c r="F46" s="1267"/>
      <c r="G46" s="1267"/>
      <c r="H46" s="1267"/>
      <c r="I46" s="1267"/>
      <c r="J46" s="1267"/>
      <c r="K46" s="1267"/>
      <c r="L46" s="1543">
        <f>SUM(L47:L48)</f>
        <v>205000</v>
      </c>
      <c r="M46" s="1269"/>
      <c r="N46" s="1270"/>
      <c r="O46" s="1282"/>
    </row>
    <row r="47" spans="1:15" ht="21.75">
      <c r="A47" s="1286"/>
      <c r="B47" s="1286"/>
      <c r="C47" s="1284" t="s">
        <v>1689</v>
      </c>
      <c r="D47" s="1290"/>
      <c r="E47" s="1290"/>
      <c r="F47" s="1290"/>
      <c r="G47" s="1290"/>
      <c r="H47" s="1540">
        <v>1</v>
      </c>
      <c r="I47" s="1540"/>
      <c r="J47" s="1540"/>
      <c r="K47" s="1540">
        <v>5000</v>
      </c>
      <c r="L47" s="1545">
        <f>K47*H47</f>
        <v>5000</v>
      </c>
      <c r="M47" s="1269"/>
      <c r="N47" s="1270"/>
      <c r="O47" s="1266"/>
    </row>
    <row r="48" spans="1:15" ht="21.75">
      <c r="A48" s="1286"/>
      <c r="B48" s="1286"/>
      <c r="C48" s="1284" t="s">
        <v>1690</v>
      </c>
      <c r="D48" s="1290"/>
      <c r="E48" s="1290"/>
      <c r="F48" s="1290"/>
      <c r="G48" s="1290"/>
      <c r="H48" s="1540">
        <v>1000</v>
      </c>
      <c r="I48" s="1540"/>
      <c r="J48" s="1540"/>
      <c r="K48" s="1540">
        <v>200</v>
      </c>
      <c r="L48" s="1545">
        <f>K48*H48</f>
        <v>200000</v>
      </c>
      <c r="M48" s="1269"/>
      <c r="N48" s="1270"/>
      <c r="O48" s="1266"/>
    </row>
    <row r="49" spans="1:15" ht="21.75">
      <c r="A49" s="1286"/>
      <c r="B49" s="1286"/>
      <c r="C49" s="1283" t="s">
        <v>1691</v>
      </c>
      <c r="D49" s="1267"/>
      <c r="E49" s="1267"/>
      <c r="F49" s="1267"/>
      <c r="G49" s="1267"/>
      <c r="H49" s="1267"/>
      <c r="I49" s="1267"/>
      <c r="J49" s="1267"/>
      <c r="K49" s="1539"/>
      <c r="L49" s="1543">
        <f>L50+L59+L60+L68</f>
        <v>3656000</v>
      </c>
      <c r="M49" s="1269"/>
      <c r="N49" s="1270"/>
      <c r="O49" s="1266"/>
    </row>
    <row r="50" spans="1:15" ht="21.75">
      <c r="A50" s="1286"/>
      <c r="B50" s="1286"/>
      <c r="C50" s="1284" t="s">
        <v>1692</v>
      </c>
      <c r="D50" s="1279"/>
      <c r="E50" s="1279"/>
      <c r="F50" s="1279"/>
      <c r="G50" s="1268"/>
      <c r="H50" s="1268"/>
      <c r="I50" s="1266"/>
      <c r="J50" s="1266"/>
      <c r="K50" s="1541"/>
      <c r="L50" s="1543">
        <f>SUM(L51:L57)</f>
        <v>2600000</v>
      </c>
      <c r="M50" s="1269"/>
      <c r="N50" s="1270"/>
      <c r="O50" s="1266"/>
    </row>
    <row r="51" spans="1:15" ht="21.75">
      <c r="A51" s="1445"/>
      <c r="B51" s="1445"/>
      <c r="C51" s="1284" t="s">
        <v>1693</v>
      </c>
      <c r="D51" s="1272"/>
      <c r="E51" s="1272"/>
      <c r="F51" s="1272"/>
      <c r="G51" s="1266"/>
      <c r="H51" s="1266">
        <v>20</v>
      </c>
      <c r="I51" s="1266"/>
      <c r="J51" s="1266"/>
      <c r="K51" s="1541">
        <v>100000</v>
      </c>
      <c r="L51" s="1545">
        <f>K51*H51</f>
        <v>2000000</v>
      </c>
      <c r="M51" s="1269"/>
      <c r="N51" s="1270"/>
      <c r="O51" s="1266"/>
    </row>
    <row r="52" spans="1:15" ht="21.75">
      <c r="A52" s="1286"/>
      <c r="B52" s="1286"/>
      <c r="C52" s="1284" t="s">
        <v>1694</v>
      </c>
      <c r="D52" s="1272"/>
      <c r="E52" s="1272"/>
      <c r="F52" s="1272"/>
      <c r="G52" s="1266"/>
      <c r="H52" s="1266"/>
      <c r="I52" s="1266"/>
      <c r="J52" s="1266"/>
      <c r="K52" s="1266"/>
      <c r="L52" s="1543"/>
      <c r="M52" s="1269"/>
      <c r="N52" s="1270"/>
      <c r="O52" s="1266"/>
    </row>
    <row r="53" spans="1:15" ht="21.75">
      <c r="A53" s="1286"/>
      <c r="B53" s="1286"/>
      <c r="C53" s="1284" t="s">
        <v>1695</v>
      </c>
      <c r="D53" s="1272"/>
      <c r="E53" s="1272"/>
      <c r="F53" s="1272"/>
      <c r="G53" s="1266"/>
      <c r="H53" s="1266"/>
      <c r="I53" s="1266"/>
      <c r="J53" s="1266"/>
      <c r="K53" s="1266"/>
      <c r="L53" s="1543"/>
      <c r="M53" s="1269"/>
      <c r="N53" s="1270"/>
      <c r="O53" s="1266"/>
    </row>
    <row r="54" spans="1:15" ht="21.75">
      <c r="A54" s="1286"/>
      <c r="B54" s="1286"/>
      <c r="C54" s="1284" t="s">
        <v>1696</v>
      </c>
      <c r="D54" s="1272"/>
      <c r="E54" s="1272"/>
      <c r="F54" s="1272"/>
      <c r="G54" s="1266"/>
      <c r="H54" s="1266"/>
      <c r="I54" s="1266"/>
      <c r="J54" s="1266"/>
      <c r="K54" s="1266"/>
      <c r="L54" s="1543"/>
      <c r="M54" s="1269"/>
      <c r="N54" s="1270"/>
      <c r="O54" s="1266"/>
    </row>
    <row r="55" spans="1:15" ht="21.75">
      <c r="A55" s="1286"/>
      <c r="B55" s="1286"/>
      <c r="C55" s="1284" t="s">
        <v>1697</v>
      </c>
      <c r="D55" s="1272"/>
      <c r="E55" s="1272"/>
      <c r="F55" s="1272"/>
      <c r="G55" s="1266"/>
      <c r="H55" s="1266"/>
      <c r="I55" s="1266"/>
      <c r="J55" s="1266"/>
      <c r="K55" s="1266"/>
      <c r="L55" s="1543"/>
      <c r="M55" s="1269"/>
      <c r="N55" s="1270"/>
      <c r="O55" s="1266"/>
    </row>
    <row r="56" spans="1:15" ht="21.75">
      <c r="A56" s="1286"/>
      <c r="B56" s="1286"/>
      <c r="C56" s="1284" t="s">
        <v>1698</v>
      </c>
      <c r="D56" s="1272"/>
      <c r="E56" s="1272"/>
      <c r="F56" s="1272"/>
      <c r="G56" s="1266"/>
      <c r="H56" s="1266"/>
      <c r="I56" s="1266"/>
      <c r="J56" s="1266"/>
      <c r="K56" s="1266"/>
      <c r="L56" s="1543"/>
      <c r="M56" s="1269"/>
      <c r="N56" s="1270"/>
      <c r="O56" s="1266"/>
    </row>
    <row r="57" spans="1:15" ht="21.75">
      <c r="A57" s="1286"/>
      <c r="B57" s="1286"/>
      <c r="C57" s="1284" t="s">
        <v>1699</v>
      </c>
      <c r="D57" s="1266"/>
      <c r="E57" s="1266"/>
      <c r="F57" s="1266"/>
      <c r="G57" s="1266"/>
      <c r="H57" s="1266">
        <v>3</v>
      </c>
      <c r="I57" s="1266"/>
      <c r="J57" s="1266">
        <v>20</v>
      </c>
      <c r="K57" s="1541">
        <v>10000</v>
      </c>
      <c r="L57" s="1545">
        <f>K57*J57*H57</f>
        <v>600000</v>
      </c>
      <c r="M57" s="1269"/>
      <c r="N57" s="1270"/>
      <c r="O57" s="1266"/>
    </row>
    <row r="58" spans="1:15" ht="21.75">
      <c r="A58" s="1286"/>
      <c r="B58" s="1286"/>
      <c r="C58" s="1284" t="s">
        <v>1700</v>
      </c>
      <c r="D58" s="1266"/>
      <c r="E58" s="1266"/>
      <c r="F58" s="1266"/>
      <c r="G58" s="1266"/>
      <c r="H58" s="1266"/>
      <c r="I58" s="1266"/>
      <c r="J58" s="1266"/>
      <c r="K58" s="1541"/>
      <c r="L58" s="1543"/>
      <c r="M58" s="1269"/>
      <c r="N58" s="1270"/>
      <c r="O58" s="1266"/>
    </row>
    <row r="59" spans="1:15" ht="21.75">
      <c r="A59" s="1286"/>
      <c r="B59" s="1286"/>
      <c r="C59" s="1284" t="s">
        <v>1701</v>
      </c>
      <c r="D59" s="1266"/>
      <c r="E59" s="1266"/>
      <c r="F59" s="1266"/>
      <c r="G59" s="1266"/>
      <c r="H59" s="1542">
        <v>1</v>
      </c>
      <c r="I59" s="1542"/>
      <c r="J59" s="1542">
        <v>30</v>
      </c>
      <c r="K59" s="1544">
        <v>10000</v>
      </c>
      <c r="L59" s="1543">
        <f>K59*J59*H59</f>
        <v>300000</v>
      </c>
      <c r="M59" s="1269"/>
      <c r="N59" s="1270"/>
      <c r="O59" s="1266"/>
    </row>
    <row r="60" spans="1:15" ht="21.75">
      <c r="A60" s="1286"/>
      <c r="B60" s="1286"/>
      <c r="C60" s="1284" t="s">
        <v>1702</v>
      </c>
      <c r="D60" s="1266"/>
      <c r="E60" s="1266"/>
      <c r="F60" s="1266"/>
      <c r="G60" s="1266"/>
      <c r="H60" s="1542"/>
      <c r="I60" s="1542"/>
      <c r="J60" s="1542"/>
      <c r="K60" s="1542"/>
      <c r="L60" s="1543">
        <f>SUM(L61:L67)</f>
        <v>76000</v>
      </c>
      <c r="M60" s="1269"/>
      <c r="N60" s="1270"/>
      <c r="O60" s="1266"/>
    </row>
    <row r="61" spans="1:15" ht="21.75">
      <c r="A61" s="1286"/>
      <c r="B61" s="1286"/>
      <c r="C61" s="1284" t="s">
        <v>1703</v>
      </c>
      <c r="D61" s="1266"/>
      <c r="E61" s="1266"/>
      <c r="F61" s="1266"/>
      <c r="G61" s="1266"/>
      <c r="H61" s="1542">
        <v>1</v>
      </c>
      <c r="I61" s="1542"/>
      <c r="J61" s="1542">
        <v>1</v>
      </c>
      <c r="K61" s="1544">
        <v>5000</v>
      </c>
      <c r="L61" s="1545">
        <f>K61*J61*H61</f>
        <v>5000</v>
      </c>
      <c r="M61" s="1269"/>
      <c r="N61" s="1270"/>
      <c r="O61" s="1266"/>
    </row>
    <row r="62" spans="1:15" ht="21.75">
      <c r="A62" s="1286"/>
      <c r="B62" s="1286"/>
      <c r="C62" s="1284" t="s">
        <v>1704</v>
      </c>
      <c r="D62" s="1266"/>
      <c r="E62" s="1266"/>
      <c r="F62" s="1266"/>
      <c r="G62" s="1266"/>
      <c r="H62" s="1542">
        <v>1</v>
      </c>
      <c r="I62" s="1542"/>
      <c r="J62" s="1542">
        <v>4</v>
      </c>
      <c r="K62" s="1544">
        <v>5000</v>
      </c>
      <c r="L62" s="1545">
        <f t="shared" ref="L62:L67" si="2">K62*J62*H62</f>
        <v>20000</v>
      </c>
      <c r="M62" s="1269"/>
      <c r="N62" s="1270"/>
      <c r="O62" s="1266"/>
    </row>
    <row r="63" spans="1:15">
      <c r="A63" s="1286"/>
      <c r="B63" s="1286"/>
      <c r="C63" s="1284" t="s">
        <v>1705</v>
      </c>
      <c r="D63" s="1266"/>
      <c r="E63" s="1266"/>
      <c r="F63" s="1266"/>
      <c r="G63" s="1266"/>
      <c r="H63" s="1542">
        <v>1</v>
      </c>
      <c r="I63" s="1542"/>
      <c r="J63" s="1542">
        <v>1</v>
      </c>
      <c r="K63" s="1544">
        <v>1200</v>
      </c>
      <c r="L63" s="1545">
        <f t="shared" si="2"/>
        <v>1200</v>
      </c>
      <c r="M63" s="1281"/>
      <c r="N63" s="1281"/>
      <c r="O63" s="1266"/>
    </row>
    <row r="64" spans="1:15">
      <c r="A64" s="1286"/>
      <c r="B64" s="1286"/>
      <c r="C64" s="1284" t="s">
        <v>1706</v>
      </c>
      <c r="D64" s="1266"/>
      <c r="E64" s="1266"/>
      <c r="F64" s="1266"/>
      <c r="G64" s="1266"/>
      <c r="H64" s="1542">
        <v>1</v>
      </c>
      <c r="I64" s="1542"/>
      <c r="J64" s="1542">
        <v>4</v>
      </c>
      <c r="K64" s="1544">
        <v>1200</v>
      </c>
      <c r="L64" s="1545">
        <f t="shared" si="2"/>
        <v>4800</v>
      </c>
      <c r="M64" s="1281"/>
      <c r="N64" s="1281"/>
      <c r="O64" s="1266"/>
    </row>
    <row r="65" spans="1:17">
      <c r="A65" s="1286"/>
      <c r="B65" s="1286"/>
      <c r="C65" s="1284" t="s">
        <v>1707</v>
      </c>
      <c r="D65" s="1266"/>
      <c r="E65" s="1266"/>
      <c r="F65" s="1266"/>
      <c r="G65" s="1266"/>
      <c r="H65" s="1542">
        <v>1</v>
      </c>
      <c r="I65" s="1542"/>
      <c r="J65" s="1542">
        <v>2</v>
      </c>
      <c r="K65" s="1544">
        <v>5000</v>
      </c>
      <c r="L65" s="1545">
        <f t="shared" si="2"/>
        <v>10000</v>
      </c>
      <c r="M65" s="1281"/>
      <c r="N65" s="1281"/>
      <c r="O65" s="1266"/>
    </row>
    <row r="66" spans="1:17">
      <c r="A66" s="1286"/>
      <c r="B66" s="1286"/>
      <c r="C66" s="1284" t="s">
        <v>1708</v>
      </c>
      <c r="D66" s="1266"/>
      <c r="E66" s="1266"/>
      <c r="F66" s="1266"/>
      <c r="G66" s="1266"/>
      <c r="H66" s="1542">
        <v>1</v>
      </c>
      <c r="I66" s="1542"/>
      <c r="J66" s="1542">
        <v>50</v>
      </c>
      <c r="K66" s="1544">
        <v>100</v>
      </c>
      <c r="L66" s="1545">
        <f t="shared" si="2"/>
        <v>5000</v>
      </c>
      <c r="M66" s="1281"/>
      <c r="N66" s="1281"/>
      <c r="O66" s="1266"/>
    </row>
    <row r="67" spans="1:17">
      <c r="A67" s="1286"/>
      <c r="B67" s="1286"/>
      <c r="C67" s="1284" t="s">
        <v>1709</v>
      </c>
      <c r="D67" s="1266"/>
      <c r="E67" s="1266"/>
      <c r="F67" s="1266"/>
      <c r="G67" s="1266"/>
      <c r="H67" s="1542">
        <v>1</v>
      </c>
      <c r="I67" s="1542"/>
      <c r="J67" s="1542">
        <v>50</v>
      </c>
      <c r="K67" s="1544">
        <v>600</v>
      </c>
      <c r="L67" s="1545">
        <f t="shared" si="2"/>
        <v>30000</v>
      </c>
      <c r="M67" s="1281"/>
      <c r="N67" s="1281"/>
      <c r="O67" s="1266"/>
    </row>
    <row r="68" spans="1:17">
      <c r="A68" s="1286"/>
      <c r="B68" s="1286"/>
      <c r="C68" s="1283" t="s">
        <v>1710</v>
      </c>
      <c r="D68" s="1266"/>
      <c r="E68" s="1266"/>
      <c r="F68" s="1266"/>
      <c r="G68" s="1266"/>
      <c r="H68" s="1266"/>
      <c r="I68" s="1266"/>
      <c r="J68" s="1266"/>
      <c r="K68" s="1266"/>
      <c r="L68" s="1543">
        <f>SUM(L69:L70)</f>
        <v>680000</v>
      </c>
      <c r="M68" s="1281"/>
      <c r="N68" s="1281"/>
      <c r="O68" s="1266"/>
    </row>
    <row r="69" spans="1:17">
      <c r="A69" s="1286"/>
      <c r="B69" s="1286"/>
      <c r="C69" s="1284" t="s">
        <v>1773</v>
      </c>
      <c r="D69" s="1266"/>
      <c r="E69" s="1266"/>
      <c r="F69" s="1266"/>
      <c r="G69" s="1266"/>
      <c r="H69" s="1266">
        <v>100</v>
      </c>
      <c r="I69" s="1266"/>
      <c r="J69" s="1266"/>
      <c r="K69" s="1541">
        <v>5800</v>
      </c>
      <c r="L69" s="1545">
        <f>K69*H69</f>
        <v>580000</v>
      </c>
      <c r="M69" s="1281"/>
      <c r="N69" s="1281"/>
      <c r="O69" s="1266"/>
    </row>
    <row r="70" spans="1:17">
      <c r="A70" s="1286"/>
      <c r="B70" s="1286"/>
      <c r="C70" s="1284" t="s">
        <v>1711</v>
      </c>
      <c r="D70" s="1266"/>
      <c r="E70" s="1266"/>
      <c r="F70" s="1266"/>
      <c r="G70" s="1266"/>
      <c r="H70" s="1266">
        <v>100</v>
      </c>
      <c r="I70" s="1266"/>
      <c r="J70" s="1266"/>
      <c r="K70" s="1541">
        <v>1000</v>
      </c>
      <c r="L70" s="1545">
        <f>K70*H70</f>
        <v>100000</v>
      </c>
      <c r="M70" s="1281"/>
      <c r="N70" s="1281"/>
      <c r="O70" s="1266"/>
    </row>
    <row r="71" spans="1:17">
      <c r="A71" s="1286"/>
      <c r="B71" s="1286"/>
      <c r="C71" s="1283" t="s">
        <v>1712</v>
      </c>
      <c r="D71" s="1266"/>
      <c r="E71" s="1266"/>
      <c r="F71" s="1266"/>
      <c r="G71" s="1266"/>
      <c r="H71" s="1266"/>
      <c r="I71" s="1266"/>
      <c r="J71" s="1266"/>
      <c r="K71" s="1266"/>
      <c r="L71" s="1543">
        <f>SUM(L72:L75)</f>
        <v>157200</v>
      </c>
      <c r="M71" s="1281"/>
      <c r="N71" s="1281"/>
      <c r="O71" s="1266"/>
    </row>
    <row r="72" spans="1:17">
      <c r="A72" s="1445"/>
      <c r="B72" s="1445"/>
      <c r="C72" s="1284" t="s">
        <v>1713</v>
      </c>
      <c r="D72" s="1266"/>
      <c r="E72" s="1266"/>
      <c r="F72" s="1266"/>
      <c r="G72" s="1266"/>
      <c r="H72" s="1541">
        <v>1</v>
      </c>
      <c r="I72" s="1541"/>
      <c r="J72" s="1541">
        <v>200</v>
      </c>
      <c r="K72" s="1541">
        <v>600</v>
      </c>
      <c r="L72" s="1545">
        <f>K72*J72*H72</f>
        <v>120000</v>
      </c>
      <c r="M72" s="1281"/>
      <c r="N72" s="1281"/>
      <c r="O72" s="1266"/>
    </row>
    <row r="73" spans="1:17">
      <c r="A73" s="1286"/>
      <c r="B73" s="1286"/>
      <c r="C73" s="1284" t="s">
        <v>1672</v>
      </c>
      <c r="D73" s="1266"/>
      <c r="E73" s="1266"/>
      <c r="F73" s="1266"/>
      <c r="G73" s="1266"/>
      <c r="H73" s="1541"/>
      <c r="I73" s="1541"/>
      <c r="J73" s="1541"/>
      <c r="K73" s="1541">
        <v>10000</v>
      </c>
      <c r="L73" s="1545">
        <f>K73</f>
        <v>10000</v>
      </c>
      <c r="M73" s="1281"/>
      <c r="N73" s="1281"/>
      <c r="O73" s="1266"/>
    </row>
    <row r="74" spans="1:17">
      <c r="A74" s="1286"/>
      <c r="B74" s="1286"/>
      <c r="C74" s="1284" t="s">
        <v>1714</v>
      </c>
      <c r="D74" s="1266"/>
      <c r="E74" s="1266"/>
      <c r="F74" s="1266"/>
      <c r="G74" s="1266"/>
      <c r="H74" s="1541">
        <v>1</v>
      </c>
      <c r="I74" s="1541"/>
      <c r="J74" s="1541">
        <v>200</v>
      </c>
      <c r="K74" s="1541">
        <v>100</v>
      </c>
      <c r="L74" s="1545">
        <f>K74*J74*H74</f>
        <v>20000</v>
      </c>
      <c r="M74" s="1281"/>
      <c r="N74" s="1281"/>
      <c r="O74" s="1266"/>
    </row>
    <row r="75" spans="1:17">
      <c r="A75" s="1286"/>
      <c r="B75" s="1286"/>
      <c r="C75" s="1284" t="s">
        <v>1715</v>
      </c>
      <c r="D75" s="1266"/>
      <c r="E75" s="1266"/>
      <c r="F75" s="1266"/>
      <c r="G75" s="1266"/>
      <c r="H75" s="1541">
        <v>3</v>
      </c>
      <c r="I75" s="1541"/>
      <c r="J75" s="1541">
        <v>2</v>
      </c>
      <c r="K75" s="1541">
        <v>1200</v>
      </c>
      <c r="L75" s="1545">
        <f>K75*J75*H75</f>
        <v>7200</v>
      </c>
      <c r="M75" s="1281"/>
      <c r="N75" s="1281"/>
      <c r="O75" s="1290"/>
    </row>
    <row r="76" spans="1:17" s="1292" customFormat="1">
      <c r="A76" s="1288"/>
      <c r="B76" s="1288"/>
      <c r="C76" s="1289" t="s">
        <v>597</v>
      </c>
      <c r="D76" s="1290"/>
      <c r="E76" s="1290"/>
      <c r="F76" s="1290"/>
      <c r="G76" s="1290"/>
      <c r="H76" s="1290"/>
      <c r="I76" s="1290"/>
      <c r="J76" s="1290"/>
      <c r="K76" s="1290"/>
      <c r="L76" s="1552">
        <v>11600</v>
      </c>
      <c r="M76" s="1291"/>
      <c r="N76" s="1291"/>
      <c r="O76" s="1290"/>
      <c r="P76" s="1238"/>
      <c r="Q76" s="1238"/>
    </row>
    <row r="77" spans="1:17" s="1292" customFormat="1" ht="12.75" customHeight="1">
      <c r="A77" s="1293"/>
      <c r="B77" s="1293"/>
      <c r="C77" s="1294"/>
      <c r="D77" s="1295"/>
      <c r="E77" s="1295"/>
      <c r="F77" s="1295"/>
      <c r="G77" s="1295"/>
      <c r="H77" s="1295"/>
      <c r="I77" s="1295"/>
      <c r="J77" s="1295"/>
      <c r="K77" s="1295"/>
      <c r="L77" s="1553"/>
      <c r="M77" s="1296"/>
      <c r="N77" s="1296"/>
      <c r="O77" s="1"/>
      <c r="P77" s="1238"/>
      <c r="Q77" s="1238"/>
    </row>
    <row r="78" spans="1:17" s="1173" customFormat="1" ht="18.75">
      <c r="C78" s="347" t="s">
        <v>171</v>
      </c>
      <c r="D78" s="29" t="s">
        <v>172</v>
      </c>
      <c r="E78" s="29"/>
      <c r="F78" s="29"/>
      <c r="G78" s="1"/>
      <c r="H78" s="1"/>
      <c r="I78" s="1"/>
      <c r="J78" s="1"/>
      <c r="K78" s="1"/>
      <c r="L78" s="1"/>
      <c r="M78" s="1"/>
      <c r="N78" s="1"/>
      <c r="P78" s="1238"/>
      <c r="Q78" s="1238"/>
    </row>
    <row r="79" spans="1:17" s="1173" customFormat="1" ht="18.75">
      <c r="D79" s="1173" t="s">
        <v>466</v>
      </c>
      <c r="O79" s="1237"/>
      <c r="P79" s="1238"/>
      <c r="Q79" s="1238"/>
    </row>
    <row r="80" spans="1:17">
      <c r="C80" s="1234"/>
      <c r="D80" s="1237"/>
      <c r="E80" s="1237"/>
      <c r="F80" s="1237"/>
      <c r="G80" s="1237"/>
      <c r="H80" s="1237"/>
      <c r="I80" s="1237"/>
      <c r="J80" s="1237"/>
      <c r="K80" s="1237"/>
      <c r="L80" s="1554"/>
      <c r="O80" s="1237"/>
    </row>
    <row r="81" spans="3:15">
      <c r="C81" s="1234"/>
      <c r="D81" s="1237"/>
      <c r="E81" s="1237"/>
      <c r="F81" s="1237"/>
      <c r="G81" s="1237"/>
      <c r="H81" s="1237"/>
      <c r="I81" s="1237"/>
      <c r="J81" s="1237"/>
      <c r="K81" s="1237"/>
      <c r="L81" s="1554"/>
      <c r="O81" s="1237"/>
    </row>
    <row r="82" spans="3:15">
      <c r="C82" s="1234"/>
      <c r="D82" s="1237"/>
      <c r="E82" s="1237"/>
      <c r="F82" s="1237"/>
      <c r="G82" s="1237"/>
      <c r="H82" s="1237"/>
      <c r="I82" s="1237"/>
      <c r="J82" s="1237"/>
      <c r="K82" s="1237"/>
      <c r="L82" s="1554"/>
    </row>
  </sheetData>
  <mergeCells count="25">
    <mergeCell ref="O38:O41"/>
    <mergeCell ref="O42:O44"/>
    <mergeCell ref="A7:B9"/>
    <mergeCell ref="A3:O3"/>
    <mergeCell ref="A2:O2"/>
    <mergeCell ref="M8:M10"/>
    <mergeCell ref="N8:N10"/>
    <mergeCell ref="H7:N7"/>
    <mergeCell ref="D9:D10"/>
    <mergeCell ref="E9:E10"/>
    <mergeCell ref="F9:F10"/>
    <mergeCell ref="G9:G10"/>
    <mergeCell ref="O7:O10"/>
    <mergeCell ref="O16:O19"/>
    <mergeCell ref="O20:O24"/>
    <mergeCell ref="O25:O29"/>
    <mergeCell ref="O34:O37"/>
    <mergeCell ref="I8:I10"/>
    <mergeCell ref="J8:J10"/>
    <mergeCell ref="C7:C10"/>
    <mergeCell ref="D7:E8"/>
    <mergeCell ref="F7:G8"/>
    <mergeCell ref="K8:K10"/>
    <mergeCell ref="L8:L10"/>
    <mergeCell ref="H8:H10"/>
  </mergeCells>
  <pageMargins left="0.39370078740157483" right="0.11811023622047245" top="0.74803149606299213" bottom="0.55118110236220474" header="0.31496062992125984" footer="0.31496062992125984"/>
  <pageSetup paperSize="9" scale="85" orientation="landscape" r:id="rId1"/>
  <headerFooter>
    <oddFooter>&amp;C&amp;P/4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86"/>
  <sheetViews>
    <sheetView tabSelected="1" zoomScale="130" zoomScaleNormal="130" zoomScaleSheetLayoutView="100" workbookViewId="0">
      <selection activeCell="F9" sqref="F9:F10"/>
    </sheetView>
  </sheetViews>
  <sheetFormatPr defaultRowHeight="24"/>
  <cols>
    <col min="1" max="1" width="4.5" style="1173" customWidth="1"/>
    <col min="2" max="2" width="5" style="1173" customWidth="1"/>
    <col min="3" max="3" width="37.25" style="1197" customWidth="1"/>
    <col min="4" max="7" width="7.375" customWidth="1"/>
    <col min="8" max="8" width="9" style="1197"/>
    <col min="9" max="11" width="6.125" style="1197" customWidth="1"/>
    <col min="12" max="14" width="7.75" style="1197" customWidth="1"/>
    <col min="15" max="15" width="7.75" style="1198" customWidth="1"/>
    <col min="16" max="16" width="10.5" style="1219" customWidth="1"/>
    <col min="17" max="18" width="8.25" style="1319" customWidth="1"/>
    <col min="19" max="19" width="19" customWidth="1"/>
    <col min="20" max="20" width="9" style="1230"/>
    <col min="21" max="21" width="11.25" style="1230" bestFit="1" customWidth="1"/>
    <col min="22" max="16384" width="9" style="1197"/>
  </cols>
  <sheetData>
    <row r="1" spans="1:24" ht="15" customHeight="1">
      <c r="A1" s="1"/>
      <c r="B1" s="1"/>
      <c r="D1" s="1160"/>
      <c r="E1" s="1160"/>
      <c r="F1" s="1160"/>
      <c r="G1" s="1160"/>
      <c r="Q1" s="1302"/>
      <c r="R1" s="1302"/>
      <c r="S1" s="1160"/>
    </row>
    <row r="2" spans="1:24" customFormat="1" ht="23.25">
      <c r="A2" s="1784" t="s">
        <v>1561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N2" s="1784"/>
      <c r="O2" s="1784"/>
      <c r="P2" s="1784"/>
      <c r="Q2" s="1784"/>
      <c r="R2" s="1784"/>
      <c r="S2" s="1784"/>
      <c r="T2" s="1784"/>
      <c r="U2" s="1784"/>
      <c r="V2" s="1784"/>
    </row>
    <row r="3" spans="1:24" customFormat="1" ht="23.25">
      <c r="A3" s="1570" t="s">
        <v>85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  <c r="T3" s="1570"/>
      <c r="U3" s="1570"/>
      <c r="V3" s="1570"/>
      <c r="W3" s="157"/>
      <c r="X3" s="157"/>
    </row>
    <row r="4" spans="1:24" ht="26.25">
      <c r="A4" s="287" t="s">
        <v>0</v>
      </c>
      <c r="B4" s="287"/>
      <c r="Q4" s="1303"/>
      <c r="R4" s="1303"/>
    </row>
    <row r="5" spans="1:24" ht="26.25">
      <c r="A5" s="287" t="s">
        <v>1</v>
      </c>
      <c r="B5" s="287"/>
      <c r="D5" s="1165"/>
      <c r="E5" s="1165"/>
      <c r="F5" s="1165"/>
      <c r="G5" s="1162"/>
      <c r="Q5" s="1303"/>
      <c r="R5" s="1303"/>
      <c r="S5" s="1162"/>
    </row>
    <row r="6" spans="1:24" ht="18" customHeight="1">
      <c r="D6" s="1160"/>
      <c r="E6" s="1160"/>
      <c r="F6" s="1160"/>
      <c r="G6" s="1160"/>
      <c r="Q6" s="1303"/>
      <c r="R6" s="1303"/>
      <c r="S6" s="1163" t="s">
        <v>1727</v>
      </c>
    </row>
    <row r="7" spans="1:24" ht="25.5" customHeight="1">
      <c r="A7" s="1587" t="s">
        <v>87</v>
      </c>
      <c r="B7" s="1588"/>
      <c r="C7" s="1786" t="s">
        <v>88</v>
      </c>
      <c r="D7" s="1789" t="s">
        <v>15</v>
      </c>
      <c r="E7" s="1790"/>
      <c r="F7" s="1789" t="s">
        <v>28</v>
      </c>
      <c r="G7" s="1790"/>
      <c r="H7" s="1828" t="s">
        <v>63</v>
      </c>
      <c r="I7" s="1829"/>
      <c r="J7" s="1829"/>
      <c r="K7" s="1829"/>
      <c r="L7" s="1829"/>
      <c r="M7" s="1829"/>
      <c r="N7" s="1829"/>
      <c r="O7" s="1829"/>
      <c r="P7" s="1829"/>
      <c r="Q7" s="1829"/>
      <c r="R7" s="1830"/>
      <c r="S7" s="1786" t="s">
        <v>91</v>
      </c>
    </row>
    <row r="8" spans="1:24" ht="17.25" customHeight="1">
      <c r="A8" s="1753"/>
      <c r="B8" s="1754"/>
      <c r="C8" s="1787"/>
      <c r="D8" s="1791"/>
      <c r="E8" s="1792"/>
      <c r="F8" s="1791"/>
      <c r="G8" s="1792"/>
      <c r="H8" s="1827" t="s">
        <v>76</v>
      </c>
      <c r="I8" s="1793" t="s">
        <v>77</v>
      </c>
      <c r="J8" s="1793"/>
      <c r="K8" s="1793"/>
      <c r="L8" s="1833" t="s">
        <v>1737</v>
      </c>
      <c r="M8" s="1787" t="s">
        <v>175</v>
      </c>
      <c r="N8" s="1787" t="s">
        <v>93</v>
      </c>
      <c r="O8" s="1787" t="s">
        <v>94</v>
      </c>
      <c r="P8" s="1835" t="s">
        <v>1563</v>
      </c>
      <c r="Q8" s="1820" t="s">
        <v>89</v>
      </c>
      <c r="R8" s="1820" t="s">
        <v>90</v>
      </c>
      <c r="S8" s="1787"/>
      <c r="U8" s="1230" t="s">
        <v>1564</v>
      </c>
    </row>
    <row r="9" spans="1:24" ht="18" customHeight="1">
      <c r="A9" s="1589"/>
      <c r="B9" s="1590"/>
      <c r="C9" s="1787"/>
      <c r="D9" s="1831" t="s">
        <v>4</v>
      </c>
      <c r="E9" s="1831" t="s">
        <v>5</v>
      </c>
      <c r="F9" s="1831" t="s">
        <v>4</v>
      </c>
      <c r="G9" s="1831" t="s">
        <v>6</v>
      </c>
      <c r="H9" s="1827"/>
      <c r="I9" s="1793"/>
      <c r="J9" s="1793"/>
      <c r="K9" s="1793"/>
      <c r="L9" s="1833" t="s">
        <v>95</v>
      </c>
      <c r="M9" s="1787"/>
      <c r="N9" s="1787"/>
      <c r="O9" s="1787"/>
      <c r="P9" s="1836"/>
      <c r="Q9" s="1820"/>
      <c r="R9" s="1820"/>
      <c r="S9" s="1787"/>
    </row>
    <row r="10" spans="1:24" ht="22.5" customHeight="1">
      <c r="A10" s="86" t="s">
        <v>96</v>
      </c>
      <c r="B10" s="86" t="s">
        <v>97</v>
      </c>
      <c r="C10" s="1788"/>
      <c r="D10" s="1832"/>
      <c r="E10" s="1832"/>
      <c r="F10" s="1832"/>
      <c r="G10" s="1832"/>
      <c r="H10" s="1201"/>
      <c r="I10" s="1175" t="s">
        <v>78</v>
      </c>
      <c r="J10" s="1175" t="s">
        <v>79</v>
      </c>
      <c r="K10" s="1175" t="s">
        <v>80</v>
      </c>
      <c r="L10" s="1834" t="s">
        <v>719</v>
      </c>
      <c r="M10" s="1788"/>
      <c r="N10" s="1788"/>
      <c r="O10" s="1788"/>
      <c r="P10" s="1837"/>
      <c r="Q10" s="1820"/>
      <c r="R10" s="1820"/>
      <c r="S10" s="1788"/>
    </row>
    <row r="11" spans="1:24" ht="24.75" thickBot="1">
      <c r="A11" s="93"/>
      <c r="B11" s="93"/>
      <c r="C11" s="1301" t="s">
        <v>11</v>
      </c>
      <c r="D11" s="1166"/>
      <c r="E11" s="1166"/>
      <c r="F11" s="1166"/>
      <c r="G11" s="1167"/>
      <c r="H11" s="1229"/>
      <c r="I11" s="1229"/>
      <c r="J11" s="1229"/>
      <c r="K11" s="1229"/>
      <c r="L11" s="1229"/>
      <c r="M11" s="1229"/>
      <c r="N11" s="1229"/>
      <c r="O11" s="1300"/>
      <c r="P11" s="1446">
        <f>P16</f>
        <v>10000000</v>
      </c>
      <c r="Q11" s="1304"/>
      <c r="R11" s="1304"/>
      <c r="S11" s="1167"/>
    </row>
    <row r="12" spans="1:24" s="956" customFormat="1" ht="25.5" customHeight="1" thickTop="1">
      <c r="A12" s="953"/>
      <c r="B12" s="953"/>
      <c r="C12" s="1107" t="s">
        <v>817</v>
      </c>
      <c r="D12" s="1110"/>
      <c r="E12" s="1110"/>
      <c r="F12" s="1110"/>
      <c r="G12" s="1109"/>
      <c r="H12" s="1109"/>
      <c r="I12" s="953"/>
      <c r="J12" s="953"/>
      <c r="K12" s="953"/>
      <c r="L12" s="954"/>
      <c r="M12" s="953"/>
      <c r="N12" s="954"/>
      <c r="O12" s="953"/>
      <c r="P12" s="1114"/>
      <c r="Q12" s="1305"/>
      <c r="R12" s="1305"/>
      <c r="S12" s="955"/>
      <c r="T12" s="957"/>
      <c r="U12" s="957"/>
    </row>
    <row r="13" spans="1:24" s="963" customFormat="1" ht="25.5" customHeight="1">
      <c r="A13" s="958"/>
      <c r="B13" s="958"/>
      <c r="C13" s="1108" t="s">
        <v>1722</v>
      </c>
      <c r="D13" s="970"/>
      <c r="E13" s="970"/>
      <c r="F13" s="970"/>
      <c r="G13" s="970"/>
      <c r="H13" s="970"/>
      <c r="I13" s="959"/>
      <c r="J13" s="959"/>
      <c r="K13" s="959"/>
      <c r="L13" s="960"/>
      <c r="M13" s="961"/>
      <c r="N13" s="960"/>
      <c r="O13" s="961"/>
      <c r="P13" s="1113"/>
      <c r="Q13" s="1306"/>
      <c r="R13" s="1307"/>
      <c r="S13" s="1188" t="s">
        <v>1649</v>
      </c>
      <c r="T13" s="964"/>
      <c r="U13" s="964"/>
    </row>
    <row r="14" spans="1:24" s="966" customFormat="1" ht="25.5" customHeight="1">
      <c r="A14" s="965"/>
      <c r="C14" s="1117" t="s">
        <v>1660</v>
      </c>
      <c r="D14" s="1118"/>
      <c r="E14" s="1118"/>
      <c r="F14" s="1118"/>
      <c r="G14" s="1118"/>
      <c r="H14" s="1118"/>
      <c r="I14" s="967"/>
      <c r="J14" s="967"/>
      <c r="K14" s="967"/>
      <c r="L14" s="968"/>
      <c r="M14" s="968"/>
      <c r="N14" s="968"/>
      <c r="O14" s="968"/>
      <c r="P14" s="1112"/>
      <c r="Q14" s="1308"/>
      <c r="R14" s="1309"/>
      <c r="S14" s="1822" t="s">
        <v>1662</v>
      </c>
      <c r="T14" s="969"/>
      <c r="U14" s="969"/>
    </row>
    <row r="15" spans="1:24" s="966" customFormat="1" ht="24" customHeight="1">
      <c r="A15" s="965"/>
      <c r="C15" s="1119" t="s">
        <v>1659</v>
      </c>
      <c r="D15" s="1118"/>
      <c r="E15" s="1118"/>
      <c r="F15" s="1118"/>
      <c r="G15" s="1118"/>
      <c r="H15" s="1118"/>
      <c r="I15" s="967"/>
      <c r="J15" s="967"/>
      <c r="K15" s="967"/>
      <c r="L15" s="968"/>
      <c r="M15" s="968"/>
      <c r="N15" s="968"/>
      <c r="O15" s="968"/>
      <c r="P15" s="1111"/>
      <c r="Q15" s="1310"/>
      <c r="R15" s="1310"/>
      <c r="S15" s="1822"/>
      <c r="T15" s="969"/>
      <c r="U15" s="969"/>
    </row>
    <row r="16" spans="1:24" s="1158" customFormat="1" ht="24" customHeight="1">
      <c r="A16" s="965"/>
      <c r="B16" s="966"/>
      <c r="C16" s="1100" t="s">
        <v>1658</v>
      </c>
      <c r="D16" s="1171"/>
      <c r="E16" s="1171"/>
      <c r="F16" s="1171"/>
      <c r="G16" s="314"/>
      <c r="H16" s="314"/>
      <c r="I16" s="314"/>
      <c r="J16" s="314"/>
      <c r="K16" s="314"/>
      <c r="L16" s="314"/>
      <c r="M16" s="1103"/>
      <c r="N16" s="1103"/>
      <c r="O16" s="1155"/>
      <c r="P16" s="1555">
        <f>P17+P31</f>
        <v>10000000</v>
      </c>
      <c r="Q16" s="1310"/>
      <c r="R16" s="1310"/>
      <c r="S16" s="1822"/>
      <c r="T16" s="1231"/>
      <c r="U16" s="1231"/>
    </row>
    <row r="17" spans="1:21" s="1158" customFormat="1" ht="22.5" customHeight="1">
      <c r="A17" s="965"/>
      <c r="B17" s="966"/>
      <c r="C17" s="14" t="s">
        <v>12</v>
      </c>
      <c r="D17" s="1227"/>
      <c r="E17" s="1227"/>
      <c r="F17" s="1227"/>
      <c r="G17" s="1099"/>
      <c r="H17" s="314"/>
      <c r="I17" s="314"/>
      <c r="J17" s="314"/>
      <c r="K17" s="314"/>
      <c r="L17" s="314"/>
      <c r="M17" s="1103"/>
      <c r="N17" s="1103"/>
      <c r="O17" s="1155"/>
      <c r="P17" s="1555">
        <f>P18+P27</f>
        <v>4720000</v>
      </c>
      <c r="Q17" s="1311"/>
      <c r="R17" s="1311"/>
      <c r="S17" s="1822"/>
      <c r="T17" s="1231"/>
      <c r="U17" s="1231"/>
    </row>
    <row r="18" spans="1:21" ht="24" customHeight="1">
      <c r="A18" s="953"/>
      <c r="B18" s="953"/>
      <c r="C18" s="1320" t="s">
        <v>720</v>
      </c>
      <c r="D18" s="1110"/>
      <c r="E18" s="1110"/>
      <c r="F18" s="1110"/>
      <c r="G18" s="1109"/>
      <c r="H18" s="1202"/>
      <c r="I18" s="1202"/>
      <c r="J18" s="1202"/>
      <c r="K18" s="1202"/>
      <c r="L18" s="1202"/>
      <c r="M18" s="1202"/>
      <c r="N18" s="1202"/>
      <c r="O18" s="1203"/>
      <c r="P18" s="1221">
        <f>SUM(P19:P26)</f>
        <v>2620000</v>
      </c>
      <c r="Q18" s="1305"/>
      <c r="R18" s="1305"/>
      <c r="S18" s="1823" t="s">
        <v>1661</v>
      </c>
    </row>
    <row r="19" spans="1:21" ht="65.25">
      <c r="A19" s="958"/>
      <c r="B19" s="958"/>
      <c r="C19" s="1321" t="s">
        <v>1565</v>
      </c>
      <c r="D19" s="970"/>
      <c r="E19" s="970"/>
      <c r="F19" s="970"/>
      <c r="G19" s="970"/>
      <c r="H19" s="1205" t="s">
        <v>81</v>
      </c>
      <c r="I19" s="1206"/>
      <c r="J19" s="1206" t="s">
        <v>876</v>
      </c>
      <c r="K19" s="1206"/>
      <c r="L19" s="1205" t="s">
        <v>229</v>
      </c>
      <c r="M19" s="1205">
        <v>1</v>
      </c>
      <c r="N19" s="1207">
        <v>3</v>
      </c>
      <c r="O19" s="1208">
        <v>90000</v>
      </c>
      <c r="P19" s="1222">
        <f>N19*O19*M19</f>
        <v>270000</v>
      </c>
      <c r="Q19" s="1306"/>
      <c r="R19" s="1307"/>
      <c r="S19" s="1823"/>
    </row>
    <row r="20" spans="1:21" ht="24" customHeight="1">
      <c r="A20" s="965"/>
      <c r="B20" s="966"/>
      <c r="C20" s="1321" t="s">
        <v>1566</v>
      </c>
      <c r="D20" s="1118"/>
      <c r="E20" s="1118"/>
      <c r="F20" s="1118"/>
      <c r="G20" s="1118"/>
      <c r="H20" s="1201" t="s">
        <v>81</v>
      </c>
      <c r="I20" s="1209"/>
      <c r="J20" s="1209" t="s">
        <v>876</v>
      </c>
      <c r="K20" s="1209"/>
      <c r="L20" s="1201" t="s">
        <v>229</v>
      </c>
      <c r="M20" s="1201">
        <v>1</v>
      </c>
      <c r="N20" s="1210">
        <v>5</v>
      </c>
      <c r="O20" s="1204">
        <v>70000</v>
      </c>
      <c r="P20" s="1222">
        <f t="shared" ref="P20:P26" si="0">M20*N20*O20</f>
        <v>350000</v>
      </c>
      <c r="Q20" s="1308"/>
      <c r="R20" s="1309"/>
      <c r="S20" s="1823"/>
    </row>
    <row r="21" spans="1:21" ht="26.25" customHeight="1">
      <c r="A21" s="965"/>
      <c r="B21" s="966"/>
      <c r="C21" s="1321" t="s">
        <v>1567</v>
      </c>
      <c r="D21" s="1118"/>
      <c r="E21" s="1118"/>
      <c r="F21" s="1118"/>
      <c r="G21" s="1118"/>
      <c r="H21" s="1201" t="s">
        <v>81</v>
      </c>
      <c r="I21" s="1209"/>
      <c r="J21" s="1209" t="s">
        <v>876</v>
      </c>
      <c r="K21" s="1209"/>
      <c r="L21" s="1201" t="s">
        <v>180</v>
      </c>
      <c r="M21" s="1201">
        <v>1</v>
      </c>
      <c r="N21" s="1210">
        <v>5</v>
      </c>
      <c r="O21" s="1204">
        <v>60000</v>
      </c>
      <c r="P21" s="1222">
        <f t="shared" si="0"/>
        <v>300000</v>
      </c>
      <c r="Q21" s="1310"/>
      <c r="R21" s="1310"/>
      <c r="S21" s="1823"/>
    </row>
    <row r="22" spans="1:21">
      <c r="A22" s="965"/>
      <c r="B22" s="966"/>
      <c r="C22" s="1322" t="s">
        <v>1568</v>
      </c>
      <c r="D22" s="1171"/>
      <c r="E22" s="1171"/>
      <c r="F22" s="1171"/>
      <c r="G22" s="314"/>
      <c r="H22" s="1201" t="s">
        <v>81</v>
      </c>
      <c r="I22" s="1209"/>
      <c r="J22" s="1209" t="s">
        <v>876</v>
      </c>
      <c r="K22" s="1209"/>
      <c r="L22" s="1201" t="s">
        <v>180</v>
      </c>
      <c r="M22" s="1201">
        <v>1</v>
      </c>
      <c r="N22" s="1210">
        <v>5</v>
      </c>
      <c r="O22" s="1204">
        <v>60000</v>
      </c>
      <c r="P22" s="1222">
        <f t="shared" si="0"/>
        <v>300000</v>
      </c>
      <c r="Q22" s="1310"/>
      <c r="R22" s="1310"/>
      <c r="S22" s="1823"/>
    </row>
    <row r="23" spans="1:21">
      <c r="A23" s="965"/>
      <c r="B23" s="966"/>
      <c r="C23" s="1321" t="s">
        <v>1569</v>
      </c>
      <c r="D23" s="1171"/>
      <c r="E23" s="1171"/>
      <c r="F23" s="1171"/>
      <c r="G23" s="314"/>
      <c r="H23" s="1201" t="s">
        <v>81</v>
      </c>
      <c r="I23" s="1209"/>
      <c r="J23" s="1209" t="s">
        <v>876</v>
      </c>
      <c r="K23" s="1209"/>
      <c r="L23" s="1201" t="s">
        <v>180</v>
      </c>
      <c r="M23" s="1201">
        <v>1</v>
      </c>
      <c r="N23" s="1210">
        <v>5</v>
      </c>
      <c r="O23" s="1204">
        <v>60000</v>
      </c>
      <c r="P23" s="1222">
        <f t="shared" si="0"/>
        <v>300000</v>
      </c>
      <c r="Q23" s="1310"/>
      <c r="R23" s="1310"/>
      <c r="S23" s="1823"/>
    </row>
    <row r="24" spans="1:21">
      <c r="A24" s="1105"/>
      <c r="B24" s="1106"/>
      <c r="C24" s="1322" t="s">
        <v>1570</v>
      </c>
      <c r="D24" s="1104"/>
      <c r="E24" s="1104"/>
      <c r="F24" s="1104"/>
      <c r="G24" s="1104"/>
      <c r="H24" s="1201" t="s">
        <v>81</v>
      </c>
      <c r="I24" s="1209"/>
      <c r="J24" s="1209" t="s">
        <v>876</v>
      </c>
      <c r="K24" s="1209"/>
      <c r="L24" s="1201" t="s">
        <v>180</v>
      </c>
      <c r="M24" s="1201">
        <v>1</v>
      </c>
      <c r="N24" s="1210">
        <v>5</v>
      </c>
      <c r="O24" s="1204">
        <v>60000</v>
      </c>
      <c r="P24" s="1222">
        <f t="shared" si="0"/>
        <v>300000</v>
      </c>
      <c r="Q24" s="1310"/>
      <c r="R24" s="1310"/>
      <c r="S24" s="1823"/>
    </row>
    <row r="25" spans="1:21">
      <c r="A25" s="1105"/>
      <c r="B25" s="1106"/>
      <c r="C25" s="1322" t="s">
        <v>1571</v>
      </c>
      <c r="D25" s="1104"/>
      <c r="E25" s="1104"/>
      <c r="F25" s="1104"/>
      <c r="G25" s="1104"/>
      <c r="H25" s="1201" t="s">
        <v>81</v>
      </c>
      <c r="I25" s="1209"/>
      <c r="J25" s="1209" t="s">
        <v>876</v>
      </c>
      <c r="K25" s="1209"/>
      <c r="L25" s="1201" t="s">
        <v>180</v>
      </c>
      <c r="M25" s="1201">
        <v>1</v>
      </c>
      <c r="N25" s="1210">
        <v>5</v>
      </c>
      <c r="O25" s="1204">
        <v>60000</v>
      </c>
      <c r="P25" s="1222">
        <f t="shared" si="0"/>
        <v>300000</v>
      </c>
      <c r="Q25" s="1312"/>
      <c r="R25" s="1312"/>
      <c r="S25" s="1823"/>
    </row>
    <row r="26" spans="1:21">
      <c r="A26" s="1332"/>
      <c r="B26" s="1333"/>
      <c r="C26" s="24" t="s">
        <v>1572</v>
      </c>
      <c r="D26" s="1104"/>
      <c r="E26" s="1104"/>
      <c r="F26" s="1104"/>
      <c r="G26" s="1104"/>
      <c r="H26" s="1201" t="s">
        <v>81</v>
      </c>
      <c r="I26" s="1209"/>
      <c r="J26" s="1209" t="s">
        <v>876</v>
      </c>
      <c r="K26" s="1209"/>
      <c r="L26" s="1201" t="s">
        <v>180</v>
      </c>
      <c r="M26" s="1201">
        <v>2</v>
      </c>
      <c r="N26" s="1210">
        <v>5</v>
      </c>
      <c r="O26" s="1204">
        <v>50000</v>
      </c>
      <c r="P26" s="1222">
        <f t="shared" si="0"/>
        <v>500000</v>
      </c>
      <c r="Q26" s="1312"/>
      <c r="R26" s="1312"/>
      <c r="S26" s="1823"/>
    </row>
    <row r="27" spans="1:21" ht="24" customHeight="1">
      <c r="A27" s="1105"/>
      <c r="B27" s="1106"/>
      <c r="C27" s="1323" t="s">
        <v>112</v>
      </c>
      <c r="D27" s="1104"/>
      <c r="E27" s="1104"/>
      <c r="F27" s="1104"/>
      <c r="G27" s="1104"/>
      <c r="H27" s="1202"/>
      <c r="I27" s="1202"/>
      <c r="J27" s="1202"/>
      <c r="K27" s="1202"/>
      <c r="L27" s="1201"/>
      <c r="M27" s="1201"/>
      <c r="N27" s="1210"/>
      <c r="O27" s="1204"/>
      <c r="P27" s="1221">
        <f>SUM(P28:P30)</f>
        <v>2100000</v>
      </c>
      <c r="Q27" s="1312"/>
      <c r="R27" s="1312"/>
      <c r="S27" s="1821" t="s">
        <v>1724</v>
      </c>
    </row>
    <row r="28" spans="1:21">
      <c r="A28" s="1105"/>
      <c r="B28" s="1106"/>
      <c r="C28" s="1324" t="s">
        <v>1573</v>
      </c>
      <c r="D28" s="1104"/>
      <c r="E28" s="1104"/>
      <c r="F28" s="1104"/>
      <c r="G28" s="1104"/>
      <c r="H28" s="1209" t="s">
        <v>114</v>
      </c>
      <c r="I28" s="1209" t="s">
        <v>876</v>
      </c>
      <c r="J28" s="1209"/>
      <c r="K28" s="1209"/>
      <c r="L28" s="1201" t="s">
        <v>888</v>
      </c>
      <c r="M28" s="1201">
        <v>12</v>
      </c>
      <c r="N28" s="1201">
        <v>5</v>
      </c>
      <c r="O28" s="1204">
        <v>25000</v>
      </c>
      <c r="P28" s="1220">
        <f>M28*N28*O28</f>
        <v>1500000</v>
      </c>
      <c r="Q28" s="1312"/>
      <c r="R28" s="1312"/>
      <c r="S28" s="1821"/>
    </row>
    <row r="29" spans="1:21">
      <c r="A29" s="1099"/>
      <c r="B29" s="1098"/>
      <c r="C29" s="24" t="s">
        <v>744</v>
      </c>
      <c r="D29" s="1104"/>
      <c r="E29" s="1104"/>
      <c r="F29" s="1104"/>
      <c r="G29" s="1104"/>
      <c r="H29" s="1209" t="s">
        <v>114</v>
      </c>
      <c r="I29" s="1209" t="s">
        <v>876</v>
      </c>
      <c r="J29" s="1209"/>
      <c r="K29" s="1209"/>
      <c r="L29" s="1201" t="s">
        <v>109</v>
      </c>
      <c r="M29" s="1201">
        <v>2</v>
      </c>
      <c r="N29" s="1210">
        <v>9</v>
      </c>
      <c r="O29" s="1204">
        <v>20000</v>
      </c>
      <c r="P29" s="1220">
        <f>M29*N29*O29</f>
        <v>360000</v>
      </c>
      <c r="Q29" s="1313"/>
      <c r="R29" s="1313"/>
      <c r="S29" s="1821"/>
      <c r="U29" s="1197"/>
    </row>
    <row r="30" spans="1:21" ht="19.7" customHeight="1">
      <c r="A30" s="1099"/>
      <c r="B30" s="1098"/>
      <c r="C30" s="24" t="s">
        <v>1574</v>
      </c>
      <c r="D30" s="1104"/>
      <c r="E30" s="1104"/>
      <c r="F30" s="1104"/>
      <c r="G30" s="1104"/>
      <c r="H30" s="1209" t="s">
        <v>114</v>
      </c>
      <c r="I30" s="1209" t="s">
        <v>876</v>
      </c>
      <c r="J30" s="1209"/>
      <c r="K30" s="1209"/>
      <c r="L30" s="1201" t="s">
        <v>889</v>
      </c>
      <c r="M30" s="1201">
        <v>4</v>
      </c>
      <c r="N30" s="1210">
        <v>5</v>
      </c>
      <c r="O30" s="1204">
        <v>12000</v>
      </c>
      <c r="P30" s="1220">
        <f>M30*N30*O30</f>
        <v>240000</v>
      </c>
      <c r="Q30" s="1312"/>
      <c r="R30" s="1312"/>
      <c r="S30" s="1821"/>
      <c r="U30" s="1197"/>
    </row>
    <row r="31" spans="1:21">
      <c r="A31" s="1099"/>
      <c r="B31" s="1098"/>
      <c r="C31" s="14" t="s">
        <v>188</v>
      </c>
      <c r="D31" s="1104"/>
      <c r="E31" s="1104"/>
      <c r="F31" s="1104"/>
      <c r="G31" s="1104"/>
      <c r="H31" s="1202"/>
      <c r="I31" s="1202"/>
      <c r="J31" s="1202"/>
      <c r="K31" s="1202"/>
      <c r="L31" s="1201"/>
      <c r="M31" s="1201"/>
      <c r="N31" s="1210"/>
      <c r="O31" s="1204"/>
      <c r="P31" s="1221">
        <f>P40+P48+P59+P75+P46+P32</f>
        <v>5280000</v>
      </c>
      <c r="Q31" s="1312"/>
      <c r="R31" s="1312"/>
      <c r="S31" s="1821"/>
      <c r="U31" s="1197"/>
    </row>
    <row r="32" spans="1:21">
      <c r="A32" s="1099"/>
      <c r="B32" s="1098"/>
      <c r="C32" s="14" t="s">
        <v>1575</v>
      </c>
      <c r="D32" s="1104"/>
      <c r="E32" s="1104"/>
      <c r="F32" s="1104"/>
      <c r="G32" s="1104"/>
      <c r="H32" s="1202"/>
      <c r="I32" s="1202"/>
      <c r="J32" s="1202"/>
      <c r="K32" s="1202"/>
      <c r="L32" s="1201"/>
      <c r="M32" s="1201"/>
      <c r="N32" s="1210"/>
      <c r="O32" s="1204"/>
      <c r="P32" s="1221">
        <f>SUM(P33:P39)</f>
        <v>147200</v>
      </c>
      <c r="Q32" s="1314"/>
      <c r="R32" s="1314"/>
      <c r="S32" s="1821"/>
      <c r="U32" s="1197"/>
    </row>
    <row r="33" spans="1:21">
      <c r="A33" s="1099"/>
      <c r="B33" s="1098"/>
      <c r="C33" s="1321" t="s">
        <v>1576</v>
      </c>
      <c r="D33" s="1104"/>
      <c r="E33" s="1104"/>
      <c r="F33" s="1104"/>
      <c r="G33" s="1104"/>
      <c r="H33" s="1211"/>
      <c r="I33" s="1211"/>
      <c r="J33" s="1211"/>
      <c r="K33" s="1211"/>
      <c r="L33" s="1210"/>
      <c r="M33" s="1210"/>
      <c r="N33" s="1210">
        <v>1</v>
      </c>
      <c r="O33" s="1212">
        <v>10000</v>
      </c>
      <c r="P33" s="1223">
        <f>O33*N33</f>
        <v>10000</v>
      </c>
      <c r="Q33" s="1315"/>
      <c r="R33" s="1315"/>
      <c r="S33" s="1821"/>
      <c r="U33" s="1197"/>
    </row>
    <row r="34" spans="1:21" ht="24" customHeight="1">
      <c r="A34" s="1099"/>
      <c r="B34" s="1099"/>
      <c r="C34" s="1557" t="s">
        <v>1577</v>
      </c>
      <c r="D34" s="1155"/>
      <c r="E34" s="1155"/>
      <c r="F34" s="1155"/>
      <c r="G34" s="1155"/>
      <c r="H34" s="1211"/>
      <c r="I34" s="1211"/>
      <c r="J34" s="1211"/>
      <c r="K34" s="1211"/>
      <c r="L34" s="1210"/>
      <c r="M34" s="1210"/>
      <c r="N34" s="1210">
        <v>150</v>
      </c>
      <c r="O34" s="1212">
        <v>70</v>
      </c>
      <c r="P34" s="1223">
        <f>O34*N34</f>
        <v>10500</v>
      </c>
      <c r="Q34" s="1316"/>
      <c r="R34" s="1316"/>
      <c r="S34" s="1821"/>
      <c r="U34" s="1197"/>
    </row>
    <row r="35" spans="1:21">
      <c r="A35" s="1099"/>
      <c r="B35" s="1099"/>
      <c r="C35" s="1325" t="s">
        <v>1578</v>
      </c>
      <c r="D35" s="1155"/>
      <c r="E35" s="1155"/>
      <c r="F35" s="1155"/>
      <c r="G35" s="1155"/>
      <c r="H35" s="1213"/>
      <c r="I35" s="1213"/>
      <c r="J35" s="1213"/>
      <c r="K35" s="1213"/>
      <c r="L35" s="1210"/>
      <c r="M35" s="1210"/>
      <c r="N35" s="1210">
        <v>14</v>
      </c>
      <c r="O35" s="1212">
        <v>1200</v>
      </c>
      <c r="P35" s="1223">
        <f>O35*N35</f>
        <v>16800</v>
      </c>
      <c r="Q35" s="1316"/>
      <c r="R35" s="1316"/>
      <c r="S35" s="1447" t="s">
        <v>826</v>
      </c>
      <c r="U35" s="1197"/>
    </row>
    <row r="36" spans="1:21">
      <c r="A36" s="1099"/>
      <c r="B36" s="1099"/>
      <c r="C36" s="1325" t="s">
        <v>1579</v>
      </c>
      <c r="D36" s="1155"/>
      <c r="E36" s="1155"/>
      <c r="F36" s="1155"/>
      <c r="G36" s="1155"/>
      <c r="H36" s="1213"/>
      <c r="I36" s="1213"/>
      <c r="J36" s="1213"/>
      <c r="K36" s="1213"/>
      <c r="L36" s="1210"/>
      <c r="M36" s="1210"/>
      <c r="N36" s="1210">
        <v>10</v>
      </c>
      <c r="O36" s="1212">
        <v>240</v>
      </c>
      <c r="P36" s="1223">
        <f>O36*N36</f>
        <v>2400</v>
      </c>
      <c r="Q36" s="1316"/>
      <c r="R36" s="1316"/>
      <c r="S36" s="1785" t="s">
        <v>1725</v>
      </c>
      <c r="U36" s="1197"/>
    </row>
    <row r="37" spans="1:21">
      <c r="A37" s="1099"/>
      <c r="B37" s="1099"/>
      <c r="C37" s="1326" t="s">
        <v>1580</v>
      </c>
      <c r="D37" s="1155"/>
      <c r="E37" s="1155"/>
      <c r="F37" s="1155"/>
      <c r="G37" s="1155"/>
      <c r="H37" s="1211"/>
      <c r="I37" s="1211"/>
      <c r="J37" s="1211"/>
      <c r="K37" s="1211"/>
      <c r="L37" s="1210"/>
      <c r="M37" s="1210"/>
      <c r="N37" s="1210">
        <v>300</v>
      </c>
      <c r="O37" s="1212">
        <v>50</v>
      </c>
      <c r="P37" s="1223">
        <f>O37*N37</f>
        <v>15000</v>
      </c>
      <c r="Q37" s="1316"/>
      <c r="R37" s="1316"/>
      <c r="S37" s="1785"/>
      <c r="U37" s="1197"/>
    </row>
    <row r="38" spans="1:21">
      <c r="A38" s="1099"/>
      <c r="B38" s="1099"/>
      <c r="C38" s="1327" t="s">
        <v>1581</v>
      </c>
      <c r="D38" s="1186"/>
      <c r="E38" s="1186"/>
      <c r="F38" s="1186"/>
      <c r="G38" s="1155"/>
      <c r="H38" s="1211"/>
      <c r="I38" s="1211"/>
      <c r="J38" s="1211"/>
      <c r="K38" s="1211"/>
      <c r="L38" s="1210"/>
      <c r="M38" s="1210"/>
      <c r="N38" s="1210">
        <v>150</v>
      </c>
      <c r="O38" s="1212">
        <v>550</v>
      </c>
      <c r="P38" s="1223">
        <f>N38*O38</f>
        <v>82500</v>
      </c>
      <c r="Q38" s="1316"/>
      <c r="R38" s="1316"/>
      <c r="S38" s="1785"/>
      <c r="U38" s="1197"/>
    </row>
    <row r="39" spans="1:21">
      <c r="A39" s="1099"/>
      <c r="B39" s="1099"/>
      <c r="C39" s="1328" t="s">
        <v>505</v>
      </c>
      <c r="D39" s="1186"/>
      <c r="E39" s="1186"/>
      <c r="F39" s="1186"/>
      <c r="G39" s="1155"/>
      <c r="H39" s="1202"/>
      <c r="I39" s="1202"/>
      <c r="J39" s="1202"/>
      <c r="K39" s="1202"/>
      <c r="L39" s="1201"/>
      <c r="M39" s="1201"/>
      <c r="N39" s="1210"/>
      <c r="O39" s="1204"/>
      <c r="P39" s="1220">
        <v>10000</v>
      </c>
      <c r="Q39" s="1316"/>
      <c r="R39" s="1316"/>
      <c r="S39" s="1785"/>
      <c r="U39" s="1197"/>
    </row>
    <row r="40" spans="1:21" ht="19.7" customHeight="1">
      <c r="A40" s="1099"/>
      <c r="B40" s="1099"/>
      <c r="C40" s="1558" t="s">
        <v>1582</v>
      </c>
      <c r="D40" s="1104"/>
      <c r="E40" s="1104"/>
      <c r="F40" s="1104"/>
      <c r="G40" s="1104"/>
      <c r="H40" s="1214"/>
      <c r="I40" s="1214"/>
      <c r="J40" s="1214"/>
      <c r="K40" s="1214"/>
      <c r="L40" s="1201"/>
      <c r="M40" s="1201"/>
      <c r="N40" s="1210"/>
      <c r="O40" s="1204"/>
      <c r="P40" s="1221">
        <f>SUM(P41:P45)</f>
        <v>1129600</v>
      </c>
      <c r="Q40" s="1315"/>
      <c r="R40" s="1315"/>
      <c r="S40" s="1824" t="s">
        <v>1726</v>
      </c>
      <c r="U40" s="1197"/>
    </row>
    <row r="41" spans="1:21">
      <c r="A41" s="1099"/>
      <c r="B41" s="1099"/>
      <c r="C41" s="1328" t="s">
        <v>1583</v>
      </c>
      <c r="D41" s="1104"/>
      <c r="E41" s="1104"/>
      <c r="F41" s="1104"/>
      <c r="G41" s="1104"/>
      <c r="H41" s="1214"/>
      <c r="I41" s="1214"/>
      <c r="J41" s="1214"/>
      <c r="K41" s="1214"/>
      <c r="L41" s="1201"/>
      <c r="M41" s="1201"/>
      <c r="N41" s="1210">
        <v>12</v>
      </c>
      <c r="O41" s="1204">
        <v>2000</v>
      </c>
      <c r="P41" s="1220">
        <f>O41*N41</f>
        <v>24000</v>
      </c>
      <c r="Q41" s="1315"/>
      <c r="R41" s="1315"/>
      <c r="S41" s="1825"/>
      <c r="U41" s="1197"/>
    </row>
    <row r="42" spans="1:21" ht="19.7" customHeight="1">
      <c r="A42" s="1099"/>
      <c r="B42" s="1099"/>
      <c r="C42" s="1328" t="s">
        <v>1584</v>
      </c>
      <c r="D42" s="1104"/>
      <c r="E42" s="1104"/>
      <c r="F42" s="1104"/>
      <c r="G42" s="1104"/>
      <c r="H42" s="1202"/>
      <c r="I42" s="1202"/>
      <c r="J42" s="1202"/>
      <c r="K42" s="1202"/>
      <c r="L42" s="1201"/>
      <c r="M42" s="1201"/>
      <c r="N42" s="1210">
        <v>120</v>
      </c>
      <c r="O42" s="1204">
        <v>2500</v>
      </c>
      <c r="P42" s="1220">
        <f>N42*O42</f>
        <v>300000</v>
      </c>
      <c r="Q42" s="1316"/>
      <c r="R42" s="1316"/>
      <c r="S42" s="1825"/>
      <c r="U42" s="1197"/>
    </row>
    <row r="43" spans="1:21" s="1199" customFormat="1" ht="24" customHeight="1">
      <c r="A43" s="1099"/>
      <c r="B43" s="1099"/>
      <c r="C43" s="1328" t="s">
        <v>1585</v>
      </c>
      <c r="D43" s="1104"/>
      <c r="E43" s="1104"/>
      <c r="F43" s="1104"/>
      <c r="G43" s="1104"/>
      <c r="H43" s="1214"/>
      <c r="I43" s="1214"/>
      <c r="J43" s="1214"/>
      <c r="K43" s="1214"/>
      <c r="L43" s="1201"/>
      <c r="M43" s="1201">
        <v>6</v>
      </c>
      <c r="N43" s="1210">
        <v>240</v>
      </c>
      <c r="O43" s="1204">
        <v>240</v>
      </c>
      <c r="P43" s="1220">
        <f>M43*N43*O43</f>
        <v>345600</v>
      </c>
      <c r="Q43" s="1310"/>
      <c r="R43" s="1310"/>
      <c r="S43" s="1825"/>
      <c r="T43" s="1230"/>
      <c r="U43" s="1197"/>
    </row>
    <row r="44" spans="1:21">
      <c r="A44" s="1099"/>
      <c r="B44" s="1099"/>
      <c r="C44" s="1328" t="s">
        <v>1586</v>
      </c>
      <c r="D44" s="1104"/>
      <c r="E44" s="1104"/>
      <c r="F44" s="1104"/>
      <c r="G44" s="1104"/>
      <c r="H44" s="1202"/>
      <c r="I44" s="1202"/>
      <c r="J44" s="1202"/>
      <c r="K44" s="1202"/>
      <c r="L44" s="1201"/>
      <c r="M44" s="1201">
        <v>3</v>
      </c>
      <c r="N44" s="1210">
        <v>120</v>
      </c>
      <c r="O44" s="1204">
        <v>1000</v>
      </c>
      <c r="P44" s="1220">
        <f>M44*N44*O44</f>
        <v>360000</v>
      </c>
      <c r="Q44" s="1310"/>
      <c r="R44" s="1310"/>
      <c r="S44" s="1825"/>
      <c r="U44" s="1197"/>
    </row>
    <row r="45" spans="1:21" ht="21.75" customHeight="1">
      <c r="A45" s="1099"/>
      <c r="B45" s="1099"/>
      <c r="C45" s="1328" t="s">
        <v>1587</v>
      </c>
      <c r="D45" s="1104"/>
      <c r="E45" s="1104"/>
      <c r="F45" s="1104"/>
      <c r="G45" s="1104"/>
      <c r="H45" s="1202"/>
      <c r="I45" s="1202"/>
      <c r="J45" s="1202"/>
      <c r="K45" s="1202"/>
      <c r="L45" s="1201"/>
      <c r="M45" s="1201"/>
      <c r="N45" s="1210">
        <v>10</v>
      </c>
      <c r="O45" s="1204">
        <v>10000</v>
      </c>
      <c r="P45" s="1220">
        <f>N45*O45</f>
        <v>100000</v>
      </c>
      <c r="Q45" s="1316"/>
      <c r="R45" s="1316"/>
      <c r="S45" s="1826"/>
      <c r="U45" s="1197"/>
    </row>
    <row r="46" spans="1:21" ht="19.7" customHeight="1">
      <c r="A46" s="1101"/>
      <c r="B46" s="1101"/>
      <c r="C46" s="1558" t="s">
        <v>1723</v>
      </c>
      <c r="D46" s="1104"/>
      <c r="E46" s="1104"/>
      <c r="F46" s="1104"/>
      <c r="G46" s="1104"/>
      <c r="H46" s="1202"/>
      <c r="I46" s="1202"/>
      <c r="J46" s="1202"/>
      <c r="K46" s="1202"/>
      <c r="L46" s="1201"/>
      <c r="M46" s="1201"/>
      <c r="N46" s="1210"/>
      <c r="O46" s="1204"/>
      <c r="P46" s="1221">
        <f>P47</f>
        <v>1000000</v>
      </c>
      <c r="Q46" s="1316"/>
      <c r="R46" s="1316"/>
      <c r="S46" s="1195"/>
      <c r="U46" s="1197"/>
    </row>
    <row r="47" spans="1:21" ht="23.25" customHeight="1">
      <c r="A47" s="1099"/>
      <c r="B47" s="1099"/>
      <c r="C47" s="1328" t="s">
        <v>1588</v>
      </c>
      <c r="D47" s="1168"/>
      <c r="E47" s="1168"/>
      <c r="F47" s="1168"/>
      <c r="G47" s="1168"/>
      <c r="H47" s="1202"/>
      <c r="I47" s="1202"/>
      <c r="J47" s="1202"/>
      <c r="K47" s="1202"/>
      <c r="L47" s="1201"/>
      <c r="M47" s="1201"/>
      <c r="N47" s="1210">
        <v>10</v>
      </c>
      <c r="O47" s="1204">
        <v>100000</v>
      </c>
      <c r="P47" s="1220">
        <f>N47*O47</f>
        <v>1000000</v>
      </c>
      <c r="Q47" s="1316"/>
      <c r="R47" s="1316"/>
      <c r="S47" s="1195"/>
      <c r="U47" s="1197"/>
    </row>
    <row r="48" spans="1:21">
      <c r="A48" s="299"/>
      <c r="B48" s="299"/>
      <c r="C48" s="1559" t="s">
        <v>1589</v>
      </c>
      <c r="D48" s="112"/>
      <c r="E48" s="112"/>
      <c r="F48" s="112"/>
      <c r="G48" s="72"/>
      <c r="H48" s="1211"/>
      <c r="I48" s="1211"/>
      <c r="J48" s="1211"/>
      <c r="K48" s="1211"/>
      <c r="L48" s="1210"/>
      <c r="M48" s="1210"/>
      <c r="N48" s="1210"/>
      <c r="O48" s="1212"/>
      <c r="P48" s="1224">
        <f>SUM(P49:P58)</f>
        <v>1360000</v>
      </c>
      <c r="Q48" s="1317"/>
      <c r="R48" s="1317"/>
      <c r="S48" s="1195"/>
      <c r="U48" s="1197"/>
    </row>
    <row r="49" spans="1:21">
      <c r="A49" s="299"/>
      <c r="B49" s="299"/>
      <c r="C49" s="1325" t="s">
        <v>1590</v>
      </c>
      <c r="D49" s="1169"/>
      <c r="E49" s="1169"/>
      <c r="F49" s="1169"/>
      <c r="G49" s="1169"/>
      <c r="H49" s="1211"/>
      <c r="I49" s="1211"/>
      <c r="J49" s="1211"/>
      <c r="K49" s="1211"/>
      <c r="L49" s="1210"/>
      <c r="M49" s="1210"/>
      <c r="N49" s="1567">
        <v>10</v>
      </c>
      <c r="O49" s="1212">
        <v>10000</v>
      </c>
      <c r="P49" s="1223">
        <f>N49*O49</f>
        <v>100000</v>
      </c>
      <c r="Q49" s="1179"/>
      <c r="R49" s="1179"/>
      <c r="S49" s="1195"/>
      <c r="U49" s="1197"/>
    </row>
    <row r="50" spans="1:21" s="1565" customFormat="1">
      <c r="A50" s="1099"/>
      <c r="B50" s="1099"/>
      <c r="C50" s="1556" t="s">
        <v>1591</v>
      </c>
      <c r="D50" s="1194"/>
      <c r="E50" s="1194"/>
      <c r="F50" s="1194"/>
      <c r="G50" s="1194"/>
      <c r="H50" s="1560"/>
      <c r="I50" s="1560"/>
      <c r="J50" s="1560"/>
      <c r="K50" s="1560"/>
      <c r="L50" s="1217"/>
      <c r="M50" s="1217"/>
      <c r="N50" s="1568">
        <v>1000</v>
      </c>
      <c r="O50" s="1561">
        <v>70</v>
      </c>
      <c r="P50" s="1562">
        <f>N50*O50</f>
        <v>70000</v>
      </c>
      <c r="Q50" s="1318"/>
      <c r="R50" s="1318"/>
      <c r="S50" s="1194"/>
      <c r="T50" s="1563"/>
      <c r="U50" s="1564"/>
    </row>
    <row r="51" spans="1:21" s="1199" customFormat="1">
      <c r="A51" s="299"/>
      <c r="B51" s="299"/>
      <c r="C51" s="1325" t="s">
        <v>1592</v>
      </c>
      <c r="D51" s="1195"/>
      <c r="E51" s="1195"/>
      <c r="F51" s="1195"/>
      <c r="G51" s="1195"/>
      <c r="H51" s="1211"/>
      <c r="I51" s="1211"/>
      <c r="J51" s="1211"/>
      <c r="K51" s="1211"/>
      <c r="L51" s="1210"/>
      <c r="M51" s="1210"/>
      <c r="N51" s="1567">
        <v>40</v>
      </c>
      <c r="O51" s="1212">
        <v>2500</v>
      </c>
      <c r="P51" s="1223">
        <f>N51*O51</f>
        <v>100000</v>
      </c>
      <c r="Q51" s="1318"/>
      <c r="R51" s="1318"/>
      <c r="S51" s="1195"/>
      <c r="T51" s="1230"/>
      <c r="U51" s="1197"/>
    </row>
    <row r="52" spans="1:21">
      <c r="A52" s="299"/>
      <c r="B52" s="299"/>
      <c r="C52" s="1325" t="s">
        <v>1593</v>
      </c>
      <c r="D52" s="1195"/>
      <c r="E52" s="1195"/>
      <c r="F52" s="1195"/>
      <c r="G52" s="1195"/>
      <c r="H52" s="1213"/>
      <c r="I52" s="1213"/>
      <c r="J52" s="1213"/>
      <c r="K52" s="1213"/>
      <c r="L52" s="1210"/>
      <c r="M52" s="1210"/>
      <c r="N52" s="1567">
        <v>140</v>
      </c>
      <c r="O52" s="1212">
        <v>1200</v>
      </c>
      <c r="P52" s="1223">
        <f>N52*O52</f>
        <v>168000</v>
      </c>
      <c r="Q52" s="1318"/>
      <c r="R52" s="1318"/>
      <c r="S52" s="1195"/>
      <c r="U52" s="1197"/>
    </row>
    <row r="53" spans="1:21">
      <c r="A53" s="299"/>
      <c r="B53" s="299"/>
      <c r="C53" s="1557" t="s">
        <v>1594</v>
      </c>
      <c r="D53" s="1195"/>
      <c r="E53" s="1195"/>
      <c r="F53" s="1195"/>
      <c r="G53" s="1195"/>
      <c r="H53" s="1211"/>
      <c r="I53" s="1211"/>
      <c r="J53" s="1211"/>
      <c r="K53" s="1211"/>
      <c r="L53" s="1210"/>
      <c r="M53" s="1210"/>
      <c r="N53" s="1567">
        <v>20</v>
      </c>
      <c r="O53" s="1212">
        <v>1200</v>
      </c>
      <c r="P53" s="1223">
        <f>O53*N53</f>
        <v>24000</v>
      </c>
      <c r="Q53" s="1318"/>
      <c r="R53" s="1318"/>
      <c r="S53" s="1195"/>
      <c r="U53" s="1197"/>
    </row>
    <row r="54" spans="1:21" s="949" customFormat="1">
      <c r="A54" s="299"/>
      <c r="B54" s="299"/>
      <c r="C54" s="1557" t="s">
        <v>1595</v>
      </c>
      <c r="D54" s="1195"/>
      <c r="E54" s="1195"/>
      <c r="F54" s="1195"/>
      <c r="G54" s="1195"/>
      <c r="H54" s="1213"/>
      <c r="I54" s="1213"/>
      <c r="J54" s="1213"/>
      <c r="K54" s="1213"/>
      <c r="L54" s="1210"/>
      <c r="M54" s="1210">
        <v>10</v>
      </c>
      <c r="N54" s="1567">
        <v>20</v>
      </c>
      <c r="O54" s="1212">
        <v>240</v>
      </c>
      <c r="P54" s="1223">
        <f>M54*N54*O54</f>
        <v>48000</v>
      </c>
      <c r="Q54" s="1318"/>
      <c r="R54" s="1318"/>
      <c r="S54" s="1195"/>
      <c r="T54" s="1232"/>
    </row>
    <row r="55" spans="1:21">
      <c r="A55" s="299"/>
      <c r="B55" s="299"/>
      <c r="C55" s="1326" t="s">
        <v>1596</v>
      </c>
      <c r="D55" s="1195"/>
      <c r="E55" s="1195"/>
      <c r="F55" s="1195"/>
      <c r="G55" s="1195"/>
      <c r="H55" s="1211"/>
      <c r="I55" s="1211"/>
      <c r="J55" s="1211"/>
      <c r="K55" s="1211"/>
      <c r="L55" s="1210"/>
      <c r="M55" s="1210"/>
      <c r="N55" s="1567">
        <v>2000</v>
      </c>
      <c r="O55" s="1212">
        <v>50</v>
      </c>
      <c r="P55" s="1223">
        <f>N55*O55</f>
        <v>100000</v>
      </c>
      <c r="Q55" s="1318"/>
      <c r="R55" s="1318"/>
      <c r="S55" s="1195"/>
      <c r="U55" s="1197"/>
    </row>
    <row r="56" spans="1:21">
      <c r="A56" s="299"/>
      <c r="B56" s="299"/>
      <c r="C56" s="1327" t="s">
        <v>1597</v>
      </c>
      <c r="D56" s="1195"/>
      <c r="E56" s="1195"/>
      <c r="F56" s="1195"/>
      <c r="G56" s="1195"/>
      <c r="H56" s="1211"/>
      <c r="I56" s="1211"/>
      <c r="J56" s="1211"/>
      <c r="K56" s="1211"/>
      <c r="L56" s="1210"/>
      <c r="M56" s="1210"/>
      <c r="N56" s="1567">
        <v>1000</v>
      </c>
      <c r="O56" s="1212">
        <v>550</v>
      </c>
      <c r="P56" s="1223">
        <f>N56*O56</f>
        <v>550000</v>
      </c>
      <c r="Q56" s="1318"/>
      <c r="R56" s="1318"/>
      <c r="S56" s="1195"/>
      <c r="U56" s="1197"/>
    </row>
    <row r="57" spans="1:21">
      <c r="A57" s="299"/>
      <c r="B57" s="299"/>
      <c r="C57" s="1325" t="s">
        <v>1598</v>
      </c>
      <c r="D57" s="1195"/>
      <c r="E57" s="1195"/>
      <c r="F57" s="1195"/>
      <c r="G57" s="1195"/>
      <c r="H57" s="1211"/>
      <c r="I57" s="1211"/>
      <c r="J57" s="1211"/>
      <c r="K57" s="1211"/>
      <c r="L57" s="1210"/>
      <c r="M57" s="1210">
        <v>5</v>
      </c>
      <c r="N57" s="1567">
        <v>20</v>
      </c>
      <c r="O57" s="1212">
        <v>1000</v>
      </c>
      <c r="P57" s="1223">
        <f>M57*N57*O57</f>
        <v>100000</v>
      </c>
      <c r="Q57" s="1318"/>
      <c r="R57" s="1318"/>
      <c r="S57" s="1195"/>
      <c r="U57" s="1197"/>
    </row>
    <row r="58" spans="1:21">
      <c r="A58" s="299"/>
      <c r="B58" s="299"/>
      <c r="C58" s="1328" t="s">
        <v>1599</v>
      </c>
      <c r="D58" s="1195"/>
      <c r="E58" s="1195"/>
      <c r="F58" s="1195"/>
      <c r="G58" s="1195"/>
      <c r="H58" s="1202"/>
      <c r="I58" s="1202"/>
      <c r="J58" s="1202"/>
      <c r="K58" s="1202"/>
      <c r="L58" s="1201"/>
      <c r="M58" s="1201"/>
      <c r="N58" s="1567">
        <v>10</v>
      </c>
      <c r="O58" s="1204">
        <v>10000</v>
      </c>
      <c r="P58" s="1220">
        <f>O58*N58</f>
        <v>100000</v>
      </c>
      <c r="Q58" s="1318"/>
      <c r="R58" s="1318"/>
      <c r="S58" s="1195"/>
      <c r="U58" s="1197"/>
    </row>
    <row r="59" spans="1:21">
      <c r="A59" s="299"/>
      <c r="B59" s="299"/>
      <c r="C59" s="1566" t="s">
        <v>1600</v>
      </c>
      <c r="D59" s="1195"/>
      <c r="E59" s="1195"/>
      <c r="F59" s="1195"/>
      <c r="G59" s="1195"/>
      <c r="H59" s="1215"/>
      <c r="I59" s="1215"/>
      <c r="J59" s="1215"/>
      <c r="K59" s="1215"/>
      <c r="L59" s="1201"/>
      <c r="M59" s="1216"/>
      <c r="N59" s="1217"/>
      <c r="O59" s="1218"/>
      <c r="P59" s="1225">
        <f>SUM(P60:P74)</f>
        <v>1366900</v>
      </c>
      <c r="Q59" s="1318"/>
      <c r="R59" s="1318"/>
      <c r="S59" s="1195"/>
      <c r="U59" s="1197"/>
    </row>
    <row r="60" spans="1:21">
      <c r="A60" s="299"/>
      <c r="B60" s="299"/>
      <c r="C60" s="1325" t="s">
        <v>1590</v>
      </c>
      <c r="D60" s="1195"/>
      <c r="E60" s="1195"/>
      <c r="F60" s="1195"/>
      <c r="G60" s="1195"/>
      <c r="H60" s="1211"/>
      <c r="I60" s="1211"/>
      <c r="J60" s="1211"/>
      <c r="K60" s="1211"/>
      <c r="L60" s="1210"/>
      <c r="M60" s="1210"/>
      <c r="N60" s="1210">
        <v>10</v>
      </c>
      <c r="O60" s="1212">
        <v>10000</v>
      </c>
      <c r="P60" s="1223">
        <f>N60*O60</f>
        <v>100000</v>
      </c>
      <c r="Q60" s="1318"/>
      <c r="R60" s="1318"/>
      <c r="S60" s="1195"/>
      <c r="U60" s="1197"/>
    </row>
    <row r="61" spans="1:21" s="1199" customFormat="1">
      <c r="A61" s="299"/>
      <c r="B61" s="299"/>
      <c r="C61" s="1556" t="s">
        <v>1591</v>
      </c>
      <c r="D61" s="1195"/>
      <c r="E61" s="1195"/>
      <c r="F61" s="1195"/>
      <c r="G61" s="1195"/>
      <c r="H61" s="1211"/>
      <c r="I61" s="1211"/>
      <c r="J61" s="1211"/>
      <c r="K61" s="1211"/>
      <c r="L61" s="1210"/>
      <c r="M61" s="1210"/>
      <c r="N61" s="1567">
        <v>1000</v>
      </c>
      <c r="O61" s="1212">
        <v>70</v>
      </c>
      <c r="P61" s="1223">
        <f t="shared" ref="P61:P74" si="1">O61*N61</f>
        <v>70000</v>
      </c>
      <c r="Q61" s="1318"/>
      <c r="R61" s="1318"/>
      <c r="S61" s="1195"/>
      <c r="T61" s="1230"/>
      <c r="U61" s="1197"/>
    </row>
    <row r="62" spans="1:21" s="1199" customFormat="1">
      <c r="A62" s="299"/>
      <c r="B62" s="299"/>
      <c r="C62" s="1325" t="s">
        <v>1592</v>
      </c>
      <c r="D62" s="1195"/>
      <c r="E62" s="1195"/>
      <c r="F62" s="1195"/>
      <c r="G62" s="1195"/>
      <c r="H62" s="1211"/>
      <c r="I62" s="1211"/>
      <c r="J62" s="1211"/>
      <c r="K62" s="1211"/>
      <c r="L62" s="1210"/>
      <c r="M62" s="1210"/>
      <c r="N62" s="1210">
        <v>40</v>
      </c>
      <c r="O62" s="1212">
        <v>2500</v>
      </c>
      <c r="P62" s="1223">
        <f t="shared" si="1"/>
        <v>100000</v>
      </c>
      <c r="Q62" s="1318"/>
      <c r="R62" s="1318"/>
      <c r="S62" s="1195"/>
      <c r="T62" s="1230"/>
      <c r="U62" s="1197"/>
    </row>
    <row r="63" spans="1:21">
      <c r="A63" s="344"/>
      <c r="B63" s="344"/>
      <c r="C63" s="1325" t="s">
        <v>1593</v>
      </c>
      <c r="D63" s="1195"/>
      <c r="E63" s="1195"/>
      <c r="F63" s="1195"/>
      <c r="G63" s="1195"/>
      <c r="H63" s="1213"/>
      <c r="I63" s="1213"/>
      <c r="J63" s="1213"/>
      <c r="K63" s="1213"/>
      <c r="L63" s="1210"/>
      <c r="M63" s="1210"/>
      <c r="N63" s="1210">
        <v>140</v>
      </c>
      <c r="O63" s="1212">
        <v>1200</v>
      </c>
      <c r="P63" s="1223">
        <f t="shared" si="1"/>
        <v>168000</v>
      </c>
      <c r="Q63" s="1318"/>
      <c r="R63" s="1318"/>
      <c r="S63" s="1195"/>
      <c r="U63" s="1197"/>
    </row>
    <row r="64" spans="1:21">
      <c r="A64" s="299"/>
      <c r="B64" s="299"/>
      <c r="C64" s="1557" t="s">
        <v>1594</v>
      </c>
      <c r="D64" s="1195"/>
      <c r="E64" s="1195"/>
      <c r="F64" s="1195"/>
      <c r="G64" s="1195"/>
      <c r="H64" s="1211"/>
      <c r="I64" s="1211"/>
      <c r="J64" s="1211"/>
      <c r="K64" s="1211"/>
      <c r="L64" s="1210"/>
      <c r="M64" s="1210"/>
      <c r="N64" s="1210">
        <v>20</v>
      </c>
      <c r="O64" s="1212">
        <v>1200</v>
      </c>
      <c r="P64" s="1223">
        <f t="shared" si="1"/>
        <v>24000</v>
      </c>
      <c r="Q64" s="1318"/>
      <c r="R64" s="1318"/>
      <c r="S64" s="1195"/>
      <c r="U64" s="1197"/>
    </row>
    <row r="65" spans="1:21">
      <c r="A65" s="299"/>
      <c r="B65" s="299"/>
      <c r="C65" s="1557" t="s">
        <v>1601</v>
      </c>
      <c r="D65" s="1195"/>
      <c r="E65" s="1195"/>
      <c r="F65" s="1195"/>
      <c r="G65" s="1195"/>
      <c r="H65" s="1213"/>
      <c r="I65" s="1213"/>
      <c r="J65" s="1213"/>
      <c r="K65" s="1213"/>
      <c r="L65" s="1210"/>
      <c r="M65" s="1210"/>
      <c r="N65" s="1210">
        <v>20</v>
      </c>
      <c r="O65" s="1212">
        <v>240</v>
      </c>
      <c r="P65" s="1223">
        <f t="shared" si="1"/>
        <v>4800</v>
      </c>
      <c r="Q65" s="1318"/>
      <c r="R65" s="1318"/>
      <c r="S65" s="1195"/>
      <c r="U65" s="1197"/>
    </row>
    <row r="66" spans="1:21">
      <c r="A66" s="299"/>
      <c r="B66" s="299"/>
      <c r="C66" s="1326" t="s">
        <v>1596</v>
      </c>
      <c r="D66" s="1195"/>
      <c r="E66" s="1195"/>
      <c r="F66" s="1195"/>
      <c r="G66" s="1195"/>
      <c r="H66" s="1211"/>
      <c r="I66" s="1211"/>
      <c r="J66" s="1211"/>
      <c r="K66" s="1211"/>
      <c r="L66" s="1210"/>
      <c r="M66" s="1210"/>
      <c r="N66" s="1567">
        <v>2000</v>
      </c>
      <c r="O66" s="1212">
        <v>50</v>
      </c>
      <c r="P66" s="1223">
        <f t="shared" si="1"/>
        <v>100000</v>
      </c>
      <c r="Q66" s="1318"/>
      <c r="R66" s="1318"/>
      <c r="S66" s="1195"/>
      <c r="U66" s="1197"/>
    </row>
    <row r="67" spans="1:21">
      <c r="A67" s="299"/>
      <c r="B67" s="299"/>
      <c r="C67" s="1327" t="s">
        <v>1597</v>
      </c>
      <c r="D67" s="1195"/>
      <c r="E67" s="1195"/>
      <c r="F67" s="1195"/>
      <c r="G67" s="1195"/>
      <c r="H67" s="1211"/>
      <c r="I67" s="1211"/>
      <c r="J67" s="1211"/>
      <c r="K67" s="1211"/>
      <c r="L67" s="1210"/>
      <c r="M67" s="1210"/>
      <c r="N67" s="1567">
        <v>1000</v>
      </c>
      <c r="O67" s="1212">
        <v>550</v>
      </c>
      <c r="P67" s="1223">
        <f t="shared" si="1"/>
        <v>550000</v>
      </c>
      <c r="Q67" s="1318"/>
      <c r="R67" s="1318"/>
      <c r="S67" s="1195"/>
      <c r="U67" s="1197"/>
    </row>
    <row r="68" spans="1:21">
      <c r="A68" s="299"/>
      <c r="B68" s="299"/>
      <c r="C68" s="1325" t="s">
        <v>1602</v>
      </c>
      <c r="D68" s="1195"/>
      <c r="E68" s="1195"/>
      <c r="F68" s="1195"/>
      <c r="G68" s="1195"/>
      <c r="H68" s="1211"/>
      <c r="I68" s="1211"/>
      <c r="J68" s="1211"/>
      <c r="K68" s="1211"/>
      <c r="L68" s="1210"/>
      <c r="M68" s="1210"/>
      <c r="N68" s="1567">
        <v>20</v>
      </c>
      <c r="O68" s="1212">
        <v>1000</v>
      </c>
      <c r="P68" s="1223">
        <f t="shared" si="1"/>
        <v>20000</v>
      </c>
      <c r="Q68" s="1318"/>
      <c r="R68" s="1318"/>
      <c r="S68" s="1195"/>
      <c r="U68" s="1197"/>
    </row>
    <row r="69" spans="1:21">
      <c r="A69" s="299"/>
      <c r="B69" s="299"/>
      <c r="C69" s="1325" t="s">
        <v>1603</v>
      </c>
      <c r="D69" s="1195"/>
      <c r="E69" s="1195"/>
      <c r="F69" s="1195"/>
      <c r="G69" s="1195"/>
      <c r="H69" s="1211"/>
      <c r="I69" s="1211"/>
      <c r="J69" s="1211"/>
      <c r="K69" s="1211"/>
      <c r="L69" s="1210"/>
      <c r="M69" s="1210"/>
      <c r="N69" s="1567">
        <v>2</v>
      </c>
      <c r="O69" s="1212">
        <v>2400</v>
      </c>
      <c r="P69" s="1223">
        <f t="shared" si="1"/>
        <v>4800</v>
      </c>
      <c r="Q69" s="1318"/>
      <c r="R69" s="1318"/>
      <c r="S69" s="1195"/>
      <c r="U69" s="1197"/>
    </row>
    <row r="70" spans="1:21" s="1199" customFormat="1">
      <c r="A70" s="299"/>
      <c r="B70" s="299"/>
      <c r="C70" s="1325" t="s">
        <v>1604</v>
      </c>
      <c r="D70" s="1195"/>
      <c r="E70" s="1195"/>
      <c r="F70" s="1195"/>
      <c r="G70" s="1195"/>
      <c r="H70" s="1211"/>
      <c r="I70" s="1211"/>
      <c r="J70" s="1211"/>
      <c r="K70" s="1211"/>
      <c r="L70" s="1210"/>
      <c r="M70" s="1210"/>
      <c r="N70" s="1567">
        <v>100</v>
      </c>
      <c r="O70" s="1212">
        <v>700</v>
      </c>
      <c r="P70" s="1223">
        <f t="shared" si="1"/>
        <v>70000</v>
      </c>
      <c r="Q70" s="1318"/>
      <c r="R70" s="1318"/>
      <c r="S70" s="1195"/>
      <c r="T70" s="1230"/>
      <c r="U70" s="1197"/>
    </row>
    <row r="71" spans="1:21" s="1199" customFormat="1">
      <c r="A71" s="299"/>
      <c r="B71" s="299"/>
      <c r="C71" s="1325" t="s">
        <v>1605</v>
      </c>
      <c r="D71" s="1195"/>
      <c r="E71" s="1195"/>
      <c r="F71" s="1195"/>
      <c r="G71" s="1195"/>
      <c r="H71" s="1211"/>
      <c r="I71" s="1211"/>
      <c r="J71" s="1211"/>
      <c r="K71" s="1211"/>
      <c r="L71" s="1210"/>
      <c r="M71" s="1210"/>
      <c r="N71" s="1567">
        <v>5</v>
      </c>
      <c r="O71" s="1212">
        <v>660</v>
      </c>
      <c r="P71" s="1223">
        <f t="shared" si="1"/>
        <v>3300</v>
      </c>
      <c r="Q71" s="1318"/>
      <c r="R71" s="1318"/>
      <c r="S71" s="1195"/>
      <c r="T71" s="1230"/>
      <c r="U71" s="1197"/>
    </row>
    <row r="72" spans="1:21" s="1199" customFormat="1">
      <c r="A72" s="299"/>
      <c r="B72" s="299"/>
      <c r="C72" s="1325" t="s">
        <v>1606</v>
      </c>
      <c r="D72" s="1195"/>
      <c r="E72" s="1195"/>
      <c r="F72" s="1195"/>
      <c r="G72" s="1195"/>
      <c r="H72" s="1211"/>
      <c r="I72" s="1211"/>
      <c r="J72" s="1211"/>
      <c r="K72" s="1211"/>
      <c r="L72" s="1210"/>
      <c r="M72" s="1210"/>
      <c r="N72" s="1567">
        <v>500</v>
      </c>
      <c r="O72" s="1212">
        <v>24</v>
      </c>
      <c r="P72" s="1223">
        <f t="shared" si="1"/>
        <v>12000</v>
      </c>
      <c r="Q72" s="1318"/>
      <c r="R72" s="1318"/>
      <c r="S72" s="1195"/>
      <c r="T72" s="1230"/>
      <c r="U72" s="1197"/>
    </row>
    <row r="73" spans="1:21" s="1199" customFormat="1">
      <c r="A73" s="299"/>
      <c r="B73" s="299"/>
      <c r="C73" s="1325" t="s">
        <v>1607</v>
      </c>
      <c r="D73" s="1195"/>
      <c r="E73" s="1195"/>
      <c r="F73" s="1195"/>
      <c r="G73" s="1195"/>
      <c r="H73" s="1211"/>
      <c r="I73" s="1211"/>
      <c r="J73" s="1211"/>
      <c r="K73" s="1211"/>
      <c r="L73" s="1210"/>
      <c r="M73" s="1210"/>
      <c r="N73" s="1567">
        <v>1</v>
      </c>
      <c r="O73" s="1212">
        <v>40000</v>
      </c>
      <c r="P73" s="1223">
        <f t="shared" si="1"/>
        <v>40000</v>
      </c>
      <c r="Q73" s="1318"/>
      <c r="R73" s="1318"/>
      <c r="S73" s="1195"/>
      <c r="T73" s="1230"/>
      <c r="U73" s="1197"/>
    </row>
    <row r="74" spans="1:21" s="1199" customFormat="1">
      <c r="A74" s="299"/>
      <c r="B74" s="299"/>
      <c r="C74" s="1328" t="s">
        <v>1587</v>
      </c>
      <c r="D74" s="1195"/>
      <c r="E74" s="1195"/>
      <c r="F74" s="1195"/>
      <c r="G74" s="1195"/>
      <c r="H74" s="1202"/>
      <c r="I74" s="1202"/>
      <c r="J74" s="1202"/>
      <c r="K74" s="1202"/>
      <c r="L74" s="1201"/>
      <c r="M74" s="1201"/>
      <c r="N74" s="1567">
        <v>10</v>
      </c>
      <c r="O74" s="1204">
        <v>10000</v>
      </c>
      <c r="P74" s="1223">
        <f t="shared" si="1"/>
        <v>100000</v>
      </c>
      <c r="Q74" s="1318"/>
      <c r="R74" s="1318"/>
      <c r="S74" s="1195"/>
      <c r="T74" s="1230"/>
      <c r="U74" s="1197"/>
    </row>
    <row r="75" spans="1:21" s="1199" customFormat="1" ht="24.75" customHeight="1">
      <c r="A75" s="299"/>
      <c r="B75" s="299"/>
      <c r="C75" s="1329" t="s">
        <v>161</v>
      </c>
      <c r="D75" s="1195"/>
      <c r="E75" s="1195"/>
      <c r="F75" s="1195"/>
      <c r="G75" s="1195"/>
      <c r="H75" s="1211"/>
      <c r="I75" s="1211"/>
      <c r="J75" s="1211"/>
      <c r="K75" s="1211"/>
      <c r="L75" s="1210"/>
      <c r="M75" s="1210"/>
      <c r="N75" s="1210"/>
      <c r="O75" s="1212"/>
      <c r="P75" s="1224">
        <f>SUM(P76:P83)</f>
        <v>276300</v>
      </c>
      <c r="Q75" s="1318"/>
      <c r="R75" s="1318"/>
      <c r="S75" s="1195"/>
      <c r="T75" s="1230"/>
      <c r="U75" s="1197"/>
    </row>
    <row r="76" spans="1:21" s="1199" customFormat="1">
      <c r="A76" s="299"/>
      <c r="B76" s="299"/>
      <c r="C76" s="1325" t="s">
        <v>22</v>
      </c>
      <c r="D76" s="1195"/>
      <c r="E76" s="1195"/>
      <c r="F76" s="1195"/>
      <c r="G76" s="1195"/>
      <c r="H76" s="1211"/>
      <c r="I76" s="1211"/>
      <c r="J76" s="1211"/>
      <c r="K76" s="1211"/>
      <c r="L76" s="1210">
        <v>11</v>
      </c>
      <c r="M76" s="1210"/>
      <c r="N76" s="1210"/>
      <c r="O76" s="1212" t="s">
        <v>1608</v>
      </c>
      <c r="P76" s="1223">
        <f>O76*L76</f>
        <v>5500</v>
      </c>
      <c r="Q76" s="1318"/>
      <c r="R76" s="1318"/>
      <c r="S76" s="1195"/>
      <c r="T76" s="1230"/>
      <c r="U76" s="1197"/>
    </row>
    <row r="77" spans="1:21" s="1199" customFormat="1">
      <c r="A77" s="299"/>
      <c r="B77" s="299"/>
      <c r="C77" s="1325" t="s">
        <v>1609</v>
      </c>
      <c r="D77" s="1195"/>
      <c r="E77" s="1195"/>
      <c r="F77" s="1195"/>
      <c r="G77" s="1195"/>
      <c r="H77" s="1211"/>
      <c r="I77" s="1211"/>
      <c r="J77" s="1211"/>
      <c r="K77" s="1211"/>
      <c r="L77" s="1210">
        <v>11</v>
      </c>
      <c r="M77" s="1210"/>
      <c r="N77" s="1210"/>
      <c r="O77" s="1212">
        <v>800</v>
      </c>
      <c r="P77" s="1223">
        <f>O77*L77</f>
        <v>8800</v>
      </c>
      <c r="Q77" s="1318"/>
      <c r="R77" s="1318"/>
      <c r="S77" s="1195"/>
      <c r="T77" s="1230"/>
      <c r="U77" s="1197"/>
    </row>
    <row r="78" spans="1:21" s="1199" customFormat="1">
      <c r="A78" s="299"/>
      <c r="B78" s="299"/>
      <c r="C78" s="1325" t="s">
        <v>1610</v>
      </c>
      <c r="D78" s="1195"/>
      <c r="E78" s="1195"/>
      <c r="F78" s="1195"/>
      <c r="G78" s="1195"/>
      <c r="H78" s="1211"/>
      <c r="I78" s="1211"/>
      <c r="J78" s="1211"/>
      <c r="K78" s="1211"/>
      <c r="L78" s="1210"/>
      <c r="M78" s="1210"/>
      <c r="N78" s="1210"/>
      <c r="O78" s="1212"/>
      <c r="P78" s="1223"/>
      <c r="Q78" s="1318"/>
      <c r="R78" s="1318"/>
      <c r="S78" s="1169"/>
      <c r="T78" s="1230"/>
      <c r="U78" s="1197"/>
    </row>
    <row r="79" spans="1:21" s="1199" customFormat="1">
      <c r="A79" s="299"/>
      <c r="B79" s="299"/>
      <c r="C79" s="1325" t="s">
        <v>1611</v>
      </c>
      <c r="D79" s="1195"/>
      <c r="E79" s="1195"/>
      <c r="F79" s="1195"/>
      <c r="G79" s="1195"/>
      <c r="H79" s="1211"/>
      <c r="I79" s="1211"/>
      <c r="J79" s="1211"/>
      <c r="K79" s="1211"/>
      <c r="L79" s="1210"/>
      <c r="M79" s="1210"/>
      <c r="N79" s="1210"/>
      <c r="O79" s="1212"/>
      <c r="P79" s="1223"/>
      <c r="Q79" s="1318"/>
      <c r="R79" s="1318"/>
      <c r="S79" s="1169"/>
      <c r="T79" s="1230"/>
      <c r="U79" s="1197"/>
    </row>
    <row r="80" spans="1:21">
      <c r="A80" s="299"/>
      <c r="B80" s="299"/>
      <c r="C80" s="1330" t="s">
        <v>1612</v>
      </c>
      <c r="D80" s="1195"/>
      <c r="E80" s="1195"/>
      <c r="F80" s="1195"/>
      <c r="G80" s="1195"/>
      <c r="H80" s="1211"/>
      <c r="I80" s="1211"/>
      <c r="J80" s="1211"/>
      <c r="K80" s="1211"/>
      <c r="L80" s="1210">
        <v>11</v>
      </c>
      <c r="M80" s="1210"/>
      <c r="N80" s="1210"/>
      <c r="O80" s="1212">
        <v>800</v>
      </c>
      <c r="P80" s="1223">
        <f>O80*L80</f>
        <v>8800</v>
      </c>
      <c r="Q80" s="1318"/>
      <c r="R80" s="1318"/>
      <c r="S80" s="1195"/>
      <c r="U80" s="1197"/>
    </row>
    <row r="81" spans="1:21">
      <c r="A81" s="299"/>
      <c r="B81" s="299"/>
      <c r="C81" s="1557" t="s">
        <v>1613</v>
      </c>
      <c r="D81" s="1195"/>
      <c r="E81" s="1195"/>
      <c r="F81" s="1195"/>
      <c r="G81" s="1195"/>
      <c r="H81" s="1211"/>
      <c r="I81" s="1211"/>
      <c r="J81" s="1211"/>
      <c r="K81" s="1211"/>
      <c r="L81" s="1210">
        <v>11</v>
      </c>
      <c r="M81" s="1210"/>
      <c r="N81" s="1210"/>
      <c r="O81" s="1212">
        <v>400</v>
      </c>
      <c r="P81" s="1223">
        <f t="shared" ref="P81:P82" si="2">O81*L81</f>
        <v>4400</v>
      </c>
      <c r="Q81" s="1318"/>
      <c r="R81" s="1318"/>
      <c r="S81" s="1195"/>
      <c r="U81" s="1197"/>
    </row>
    <row r="82" spans="1:21">
      <c r="A82" s="344"/>
      <c r="B82" s="344"/>
      <c r="C82" s="1557" t="s">
        <v>1614</v>
      </c>
      <c r="D82" s="1195"/>
      <c r="E82" s="1195"/>
      <c r="F82" s="1195"/>
      <c r="G82" s="1195"/>
      <c r="H82" s="1211"/>
      <c r="I82" s="1211"/>
      <c r="J82" s="1211"/>
      <c r="K82" s="1211"/>
      <c r="L82" s="1210">
        <v>11</v>
      </c>
      <c r="M82" s="1210"/>
      <c r="N82" s="1210"/>
      <c r="O82" s="1212">
        <v>800</v>
      </c>
      <c r="P82" s="1223">
        <f t="shared" si="2"/>
        <v>8800</v>
      </c>
      <c r="Q82" s="1318"/>
      <c r="R82" s="1318"/>
      <c r="S82" s="1195"/>
      <c r="U82" s="1197"/>
    </row>
    <row r="83" spans="1:21">
      <c r="A83" s="344"/>
      <c r="B83" s="344"/>
      <c r="C83" s="1557" t="s">
        <v>1615</v>
      </c>
      <c r="D83" s="1195"/>
      <c r="E83" s="1195"/>
      <c r="F83" s="1195"/>
      <c r="G83" s="1195"/>
      <c r="H83" s="1211"/>
      <c r="I83" s="1211"/>
      <c r="J83" s="1211"/>
      <c r="K83" s="1211"/>
      <c r="L83" s="1210">
        <v>400</v>
      </c>
      <c r="M83" s="1210"/>
      <c r="N83" s="1210"/>
      <c r="O83" s="1212">
        <v>600</v>
      </c>
      <c r="P83" s="1223">
        <f>L83*O83</f>
        <v>240000</v>
      </c>
      <c r="Q83" s="1318"/>
      <c r="R83" s="1318"/>
      <c r="S83" s="1195"/>
      <c r="U83" s="1197"/>
    </row>
    <row r="84" spans="1:21">
      <c r="C84" s="1199"/>
      <c r="H84" s="1199"/>
      <c r="I84" s="1199"/>
      <c r="J84" s="1199"/>
      <c r="K84" s="1199"/>
      <c r="L84" s="1199"/>
      <c r="M84" s="1199"/>
      <c r="N84" s="1199"/>
      <c r="O84" s="1200"/>
      <c r="P84" s="1226"/>
      <c r="U84" s="1197"/>
    </row>
    <row r="85" spans="1:21" s="1173" customFormat="1" ht="18.75">
      <c r="C85" s="347" t="s">
        <v>171</v>
      </c>
      <c r="D85" s="29" t="s">
        <v>172</v>
      </c>
      <c r="E85" s="29"/>
      <c r="F85" s="2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/>
    </row>
    <row r="86" spans="1:21" s="1173" customFormat="1" ht="18.75">
      <c r="D86" s="1173" t="s">
        <v>466</v>
      </c>
      <c r="S86"/>
    </row>
  </sheetData>
  <mergeCells count="26">
    <mergeCell ref="A2:V2"/>
    <mergeCell ref="A3:V3"/>
    <mergeCell ref="I8:K9"/>
    <mergeCell ref="S7:S10"/>
    <mergeCell ref="Q8:Q10"/>
    <mergeCell ref="H8:H9"/>
    <mergeCell ref="H7:R7"/>
    <mergeCell ref="D9:D10"/>
    <mergeCell ref="E9:E10"/>
    <mergeCell ref="F9:F10"/>
    <mergeCell ref="G9:G10"/>
    <mergeCell ref="L8:L10"/>
    <mergeCell ref="M8:M10"/>
    <mergeCell ref="N8:N10"/>
    <mergeCell ref="O8:O10"/>
    <mergeCell ref="P8:P10"/>
    <mergeCell ref="S27:S34"/>
    <mergeCell ref="S14:S17"/>
    <mergeCell ref="S36:S39"/>
    <mergeCell ref="S18:S26"/>
    <mergeCell ref="S40:S45"/>
    <mergeCell ref="A7:B9"/>
    <mergeCell ref="D7:E8"/>
    <mergeCell ref="F7:G8"/>
    <mergeCell ref="C7:C10"/>
    <mergeCell ref="R8:R10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&amp;C&amp;P/5</odd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0"/>
  <sheetViews>
    <sheetView zoomScaleNormal="100" zoomScaleSheetLayoutView="110" workbookViewId="0">
      <selection activeCell="C32" sqref="C32:K32"/>
    </sheetView>
  </sheetViews>
  <sheetFormatPr defaultColWidth="8.375" defaultRowHeight="21.75"/>
  <cols>
    <col min="1" max="1" width="4.375" style="39" customWidth="1"/>
    <col min="2" max="2" width="4.5" style="39" customWidth="1"/>
    <col min="3" max="3" width="30.125" style="82" customWidth="1"/>
    <col min="4" max="5" width="6.375" style="39" customWidth="1"/>
    <col min="6" max="6" width="5.875" style="39" bestFit="1" customWidth="1"/>
    <col min="7" max="7" width="6.625" style="39" bestFit="1" customWidth="1"/>
    <col min="8" max="8" width="7.625" style="39" customWidth="1"/>
    <col min="9" max="11" width="4.875" style="39" customWidth="1"/>
    <col min="12" max="12" width="8" style="80" customWidth="1"/>
    <col min="13" max="13" width="5.375" style="39" customWidth="1"/>
    <col min="14" max="14" width="7.25" style="80" customWidth="1"/>
    <col min="15" max="15" width="8.75" style="39" customWidth="1"/>
    <col min="16" max="16" width="9.125" style="81" customWidth="1"/>
    <col min="17" max="17" width="6.25" style="81" customWidth="1"/>
    <col min="18" max="18" width="7.75" style="81" customWidth="1"/>
    <col min="19" max="19" width="25.75" style="39" customWidth="1"/>
    <col min="20" max="24" width="8.375" style="39"/>
    <col min="25" max="25" width="9.625" style="39" bestFit="1" customWidth="1"/>
    <col min="26" max="16384" width="8.375" style="39"/>
  </cols>
  <sheetData>
    <row r="1" spans="1:19" ht="25.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</row>
    <row r="2" spans="1:19" ht="25.5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</row>
    <row r="3" spans="1:19">
      <c r="A3" s="79" t="s">
        <v>0</v>
      </c>
      <c r="B3" s="79"/>
      <c r="C3" s="79"/>
      <c r="D3" s="40"/>
      <c r="E3" s="40"/>
      <c r="F3" s="40"/>
    </row>
    <row r="4" spans="1:19">
      <c r="A4" s="79" t="s">
        <v>1</v>
      </c>
      <c r="B4" s="79"/>
      <c r="C4" s="79"/>
    </row>
    <row r="5" spans="1:19">
      <c r="S5" s="83" t="s">
        <v>86</v>
      </c>
    </row>
    <row r="6" spans="1:19" s="84" customFormat="1" ht="18.75" customHeight="1">
      <c r="A6" s="1587" t="s">
        <v>87</v>
      </c>
      <c r="B6" s="1605"/>
      <c r="C6" s="1610" t="s">
        <v>88</v>
      </c>
      <c r="D6" s="1612" t="s">
        <v>15</v>
      </c>
      <c r="E6" s="1613"/>
      <c r="F6" s="1612" t="s">
        <v>28</v>
      </c>
      <c r="G6" s="1613"/>
      <c r="H6" s="1616" t="s">
        <v>63</v>
      </c>
      <c r="I6" s="1616"/>
      <c r="J6" s="1616"/>
      <c r="K6" s="1616"/>
      <c r="L6" s="1616"/>
      <c r="M6" s="1616"/>
      <c r="N6" s="1616"/>
      <c r="O6" s="1616"/>
      <c r="P6" s="1616"/>
      <c r="Q6" s="1577" t="s">
        <v>89</v>
      </c>
      <c r="R6" s="1577" t="s">
        <v>90</v>
      </c>
      <c r="S6" s="1577" t="s">
        <v>91</v>
      </c>
    </row>
    <row r="7" spans="1:19" s="84" customFormat="1" ht="18.75">
      <c r="A7" s="1606"/>
      <c r="B7" s="1607"/>
      <c r="C7" s="1611"/>
      <c r="D7" s="1614"/>
      <c r="E7" s="1615"/>
      <c r="F7" s="1614"/>
      <c r="G7" s="1615"/>
      <c r="H7" s="1619" t="s">
        <v>76</v>
      </c>
      <c r="I7" s="1619" t="s">
        <v>77</v>
      </c>
      <c r="J7" s="1619"/>
      <c r="K7" s="1619"/>
      <c r="L7" s="1577" t="s">
        <v>7</v>
      </c>
      <c r="M7" s="1595" t="s">
        <v>1737</v>
      </c>
      <c r="N7" s="1583" t="s">
        <v>93</v>
      </c>
      <c r="O7" s="1583" t="s">
        <v>94</v>
      </c>
      <c r="P7" s="1617" t="s">
        <v>10</v>
      </c>
      <c r="Q7" s="1583"/>
      <c r="R7" s="1583"/>
      <c r="S7" s="1583"/>
    </row>
    <row r="8" spans="1:19" s="84" customFormat="1" ht="43.5" customHeight="1">
      <c r="A8" s="1608"/>
      <c r="B8" s="1609"/>
      <c r="C8" s="1611"/>
      <c r="D8" s="85" t="s">
        <v>4</v>
      </c>
      <c r="E8" s="85" t="s">
        <v>5</v>
      </c>
      <c r="F8" s="85" t="s">
        <v>4</v>
      </c>
      <c r="G8" s="85" t="s">
        <v>6</v>
      </c>
      <c r="H8" s="1577"/>
      <c r="I8" s="1577"/>
      <c r="J8" s="1577"/>
      <c r="K8" s="1577"/>
      <c r="L8" s="1583" t="s">
        <v>95</v>
      </c>
      <c r="M8" s="1595"/>
      <c r="N8" s="1583"/>
      <c r="O8" s="1583"/>
      <c r="P8" s="1617"/>
      <c r="Q8" s="1583"/>
      <c r="R8" s="1583"/>
      <c r="S8" s="1583"/>
    </row>
    <row r="9" spans="1:19" s="84" customFormat="1" ht="18.75">
      <c r="A9" s="86" t="s">
        <v>96</v>
      </c>
      <c r="B9" s="86" t="s">
        <v>97</v>
      </c>
      <c r="C9" s="87"/>
      <c r="D9" s="88"/>
      <c r="E9" s="88"/>
      <c r="F9" s="88"/>
      <c r="G9" s="88"/>
      <c r="H9" s="89"/>
      <c r="I9" s="75" t="s">
        <v>78</v>
      </c>
      <c r="J9" s="75" t="s">
        <v>79</v>
      </c>
      <c r="K9" s="75" t="s">
        <v>80</v>
      </c>
      <c r="L9" s="90"/>
      <c r="M9" s="85"/>
      <c r="N9" s="85"/>
      <c r="O9" s="85"/>
      <c r="P9" s="91"/>
      <c r="Q9" s="85"/>
      <c r="R9" s="85"/>
      <c r="S9" s="92"/>
    </row>
    <row r="10" spans="1:19" s="84" customFormat="1" ht="19.5" thickBot="1">
      <c r="A10" s="93"/>
      <c r="B10" s="94"/>
      <c r="C10" s="95" t="s">
        <v>11</v>
      </c>
      <c r="D10" s="93"/>
      <c r="E10" s="93"/>
      <c r="F10" s="93"/>
      <c r="G10" s="93"/>
      <c r="H10" s="96"/>
      <c r="I10" s="97"/>
      <c r="J10" s="97"/>
      <c r="K10" s="97"/>
      <c r="L10" s="98"/>
      <c r="M10" s="97"/>
      <c r="N10" s="97"/>
      <c r="O10" s="97"/>
      <c r="P10" s="99">
        <f>P16+P24</f>
        <v>20000000</v>
      </c>
      <c r="Q10" s="97"/>
      <c r="R10" s="97"/>
      <c r="S10" s="92"/>
    </row>
    <row r="11" spans="1:19" s="105" customFormat="1" ht="19.5" thickTop="1">
      <c r="A11" s="100"/>
      <c r="B11" s="100"/>
      <c r="C11" s="101" t="s">
        <v>854</v>
      </c>
      <c r="D11" s="88"/>
      <c r="E11" s="88"/>
      <c r="F11" s="88"/>
      <c r="G11" s="102"/>
      <c r="H11" s="102"/>
      <c r="I11" s="102"/>
      <c r="J11" s="102"/>
      <c r="K11" s="102"/>
      <c r="L11" s="88"/>
      <c r="M11" s="102"/>
      <c r="N11" s="88"/>
      <c r="O11" s="102"/>
      <c r="P11" s="103"/>
      <c r="Q11" s="103"/>
      <c r="R11" s="103"/>
      <c r="S11" s="104"/>
    </row>
    <row r="12" spans="1:19">
      <c r="A12" s="72"/>
      <c r="B12" s="72"/>
      <c r="C12" s="106" t="s">
        <v>831</v>
      </c>
      <c r="D12" s="72"/>
      <c r="E12" s="72"/>
      <c r="F12" s="72"/>
      <c r="G12" s="72"/>
      <c r="H12" s="72"/>
      <c r="I12" s="72"/>
      <c r="J12" s="72"/>
      <c r="K12" s="72"/>
      <c r="L12" s="107"/>
      <c r="M12" s="108"/>
      <c r="N12" s="107"/>
      <c r="O12" s="108"/>
      <c r="P12" s="109"/>
      <c r="Q12" s="110"/>
      <c r="R12" s="110"/>
      <c r="S12" s="72"/>
    </row>
    <row r="13" spans="1:19">
      <c r="A13" s="72"/>
      <c r="B13" s="72"/>
      <c r="C13" s="106" t="s">
        <v>98</v>
      </c>
      <c r="D13" s="72"/>
      <c r="E13" s="72"/>
      <c r="F13" s="72"/>
      <c r="G13" s="72"/>
      <c r="H13" s="72"/>
      <c r="I13" s="72"/>
      <c r="J13" s="72"/>
      <c r="K13" s="72"/>
      <c r="L13" s="107"/>
      <c r="M13" s="108"/>
      <c r="N13" s="107"/>
      <c r="O13" s="108"/>
      <c r="P13" s="109"/>
      <c r="Q13" s="110"/>
      <c r="R13" s="110"/>
      <c r="S13" s="72"/>
    </row>
    <row r="14" spans="1:19">
      <c r="A14" s="72"/>
      <c r="B14" s="72"/>
      <c r="C14" s="111" t="s">
        <v>99</v>
      </c>
      <c r="D14" s="112"/>
      <c r="E14" s="112"/>
      <c r="F14" s="112"/>
      <c r="G14" s="72"/>
      <c r="H14" s="72"/>
      <c r="I14" s="72"/>
      <c r="J14" s="72"/>
      <c r="K14" s="72"/>
      <c r="L14" s="107"/>
      <c r="M14" s="108"/>
      <c r="N14" s="107"/>
      <c r="O14" s="108"/>
      <c r="P14" s="109"/>
      <c r="Q14" s="113"/>
      <c r="R14" s="113"/>
      <c r="S14" s="72"/>
    </row>
    <row r="15" spans="1:19" ht="18.75" customHeight="1">
      <c r="A15" s="72"/>
      <c r="B15" s="72"/>
      <c r="C15" s="111" t="s">
        <v>828</v>
      </c>
      <c r="D15" s="115"/>
      <c r="E15" s="115"/>
      <c r="F15" s="115"/>
      <c r="G15" s="72"/>
      <c r="H15" s="72"/>
      <c r="I15" s="72"/>
      <c r="J15" s="72"/>
      <c r="K15" s="72"/>
      <c r="L15" s="107"/>
      <c r="M15" s="108"/>
      <c r="N15" s="107"/>
      <c r="O15" s="108"/>
      <c r="P15" s="109"/>
      <c r="Q15" s="113"/>
      <c r="R15" s="113"/>
      <c r="S15" s="54"/>
    </row>
    <row r="16" spans="1:19" ht="18.75" customHeight="1">
      <c r="A16" s="72"/>
      <c r="B16" s="72"/>
      <c r="C16" s="116" t="s">
        <v>12</v>
      </c>
      <c r="D16" s="115"/>
      <c r="E16" s="115"/>
      <c r="F16" s="115"/>
      <c r="G16" s="72"/>
      <c r="H16" s="72"/>
      <c r="I16" s="72"/>
      <c r="J16" s="72"/>
      <c r="K16" s="72"/>
      <c r="L16" s="107"/>
      <c r="M16" s="108"/>
      <c r="N16" s="107"/>
      <c r="O16" s="108"/>
      <c r="P16" s="109">
        <f>P17+P22</f>
        <v>10674000</v>
      </c>
      <c r="Q16" s="110"/>
      <c r="R16" s="110"/>
      <c r="S16" s="1618" t="s">
        <v>100</v>
      </c>
    </row>
    <row r="17" spans="1:19">
      <c r="A17" s="72"/>
      <c r="B17" s="72"/>
      <c r="C17" s="117" t="s">
        <v>101</v>
      </c>
      <c r="D17" s="118"/>
      <c r="E17" s="118"/>
      <c r="F17" s="118"/>
      <c r="G17" s="118"/>
      <c r="H17" s="118"/>
      <c r="I17" s="118"/>
      <c r="J17" s="118"/>
      <c r="K17" s="118"/>
      <c r="L17" s="119"/>
      <c r="M17" s="118"/>
      <c r="N17" s="119"/>
      <c r="O17" s="118"/>
      <c r="P17" s="120">
        <f>SUM(P18:P21)</f>
        <v>10350000</v>
      </c>
      <c r="Q17" s="121"/>
      <c r="R17" s="121"/>
      <c r="S17" s="1618"/>
    </row>
    <row r="18" spans="1:19">
      <c r="A18" s="54"/>
      <c r="B18" s="54"/>
      <c r="C18" s="122" t="s">
        <v>102</v>
      </c>
      <c r="D18" s="118"/>
      <c r="E18" s="118"/>
      <c r="F18" s="118"/>
      <c r="G18" s="118"/>
      <c r="H18" s="74" t="s">
        <v>103</v>
      </c>
      <c r="I18" s="72"/>
      <c r="J18" s="72"/>
      <c r="K18" s="123" t="s">
        <v>104</v>
      </c>
      <c r="L18" s="124">
        <v>1</v>
      </c>
      <c r="M18" s="124" t="s">
        <v>105</v>
      </c>
      <c r="N18" s="124">
        <v>5</v>
      </c>
      <c r="O18" s="125">
        <v>70000</v>
      </c>
      <c r="P18" s="125">
        <f>L18*N18*O18</f>
        <v>350000</v>
      </c>
      <c r="Q18" s="126"/>
      <c r="R18" s="126"/>
      <c r="S18" s="1618"/>
    </row>
    <row r="19" spans="1:19">
      <c r="A19" s="54"/>
      <c r="B19" s="54"/>
      <c r="C19" s="122" t="s">
        <v>106</v>
      </c>
      <c r="D19" s="118"/>
      <c r="E19" s="118"/>
      <c r="F19" s="118"/>
      <c r="G19" s="118"/>
      <c r="H19" s="74" t="s">
        <v>103</v>
      </c>
      <c r="I19" s="72"/>
      <c r="J19" s="123" t="s">
        <v>104</v>
      </c>
      <c r="K19" s="72"/>
      <c r="L19" s="124">
        <v>6</v>
      </c>
      <c r="M19" s="124" t="s">
        <v>107</v>
      </c>
      <c r="N19" s="124">
        <v>6</v>
      </c>
      <c r="O19" s="125">
        <v>60000</v>
      </c>
      <c r="P19" s="125">
        <f>L19*N19*O19</f>
        <v>2160000</v>
      </c>
      <c r="Q19" s="126"/>
      <c r="R19" s="126"/>
      <c r="S19" s="1618"/>
    </row>
    <row r="20" spans="1:19">
      <c r="A20" s="54"/>
      <c r="B20" s="54"/>
      <c r="C20" s="122" t="s">
        <v>108</v>
      </c>
      <c r="D20" s="118"/>
      <c r="E20" s="118"/>
      <c r="F20" s="118"/>
      <c r="G20" s="118"/>
      <c r="H20" s="74" t="s">
        <v>103</v>
      </c>
      <c r="I20" s="123" t="s">
        <v>104</v>
      </c>
      <c r="K20" s="72"/>
      <c r="L20" s="124">
        <v>20</v>
      </c>
      <c r="M20" s="124" t="s">
        <v>109</v>
      </c>
      <c r="N20" s="124">
        <v>7</v>
      </c>
      <c r="O20" s="125">
        <v>25000</v>
      </c>
      <c r="P20" s="125">
        <f>L20*N20*O20</f>
        <v>3500000</v>
      </c>
      <c r="Q20" s="126"/>
      <c r="R20" s="126"/>
      <c r="S20" s="1618"/>
    </row>
    <row r="21" spans="1:19">
      <c r="A21" s="54"/>
      <c r="B21" s="54"/>
      <c r="C21" s="122" t="s">
        <v>110</v>
      </c>
      <c r="D21" s="118"/>
      <c r="E21" s="118"/>
      <c r="F21" s="118"/>
      <c r="G21" s="118"/>
      <c r="H21" s="74" t="s">
        <v>103</v>
      </c>
      <c r="I21" s="123" t="s">
        <v>104</v>
      </c>
      <c r="J21" s="72"/>
      <c r="K21" s="72"/>
      <c r="L21" s="124">
        <v>40</v>
      </c>
      <c r="M21" s="124" t="s">
        <v>111</v>
      </c>
      <c r="N21" s="124">
        <v>7</v>
      </c>
      <c r="O21" s="125">
        <v>15500</v>
      </c>
      <c r="P21" s="125">
        <f>L21*N21*O21</f>
        <v>4340000</v>
      </c>
      <c r="Q21" s="126"/>
      <c r="R21" s="126"/>
      <c r="S21" s="1618"/>
    </row>
    <row r="22" spans="1:19" ht="18.75" customHeight="1">
      <c r="A22" s="54"/>
      <c r="B22" s="54"/>
      <c r="C22" s="117" t="s">
        <v>112</v>
      </c>
      <c r="D22" s="118"/>
      <c r="E22" s="118"/>
      <c r="F22" s="118"/>
      <c r="G22" s="118"/>
      <c r="H22" s="118"/>
      <c r="I22" s="118"/>
      <c r="J22" s="118"/>
      <c r="K22" s="118"/>
      <c r="L22" s="127"/>
      <c r="M22" s="127"/>
      <c r="N22" s="128"/>
      <c r="O22" s="127"/>
      <c r="P22" s="129">
        <f>P23</f>
        <v>324000</v>
      </c>
      <c r="Q22" s="121"/>
      <c r="R22" s="121"/>
      <c r="S22" s="1618"/>
    </row>
    <row r="23" spans="1:19" ht="24" customHeight="1">
      <c r="A23" s="54"/>
      <c r="B23" s="54"/>
      <c r="C23" s="130" t="s">
        <v>113</v>
      </c>
      <c r="D23" s="131"/>
      <c r="E23" s="118"/>
      <c r="F23" s="118"/>
      <c r="G23" s="118"/>
      <c r="H23" s="132" t="s">
        <v>114</v>
      </c>
      <c r="I23" s="72"/>
      <c r="J23" s="123" t="s">
        <v>104</v>
      </c>
      <c r="K23" s="72"/>
      <c r="L23" s="124">
        <v>2</v>
      </c>
      <c r="M23" s="124" t="s">
        <v>111</v>
      </c>
      <c r="N23" s="124">
        <v>9</v>
      </c>
      <c r="O23" s="125">
        <v>18000</v>
      </c>
      <c r="P23" s="125">
        <f>L23*N23*O23</f>
        <v>324000</v>
      </c>
      <c r="Q23" s="133"/>
      <c r="R23" s="133"/>
      <c r="S23" s="1618"/>
    </row>
    <row r="24" spans="1:19" ht="21.75" customHeight="1">
      <c r="A24" s="54"/>
      <c r="B24" s="54"/>
      <c r="C24" s="117" t="s">
        <v>115</v>
      </c>
      <c r="D24" s="118"/>
      <c r="E24" s="118"/>
      <c r="F24" s="118"/>
      <c r="G24" s="118"/>
      <c r="H24" s="118"/>
      <c r="I24" s="118"/>
      <c r="J24" s="118"/>
      <c r="K24" s="118"/>
      <c r="L24" s="127"/>
      <c r="M24" s="127"/>
      <c r="N24" s="127"/>
      <c r="O24" s="127"/>
      <c r="P24" s="129">
        <f>P25+P32+P41+P51+P68+P69+P78</f>
        <v>9326000</v>
      </c>
      <c r="Q24" s="133"/>
      <c r="R24" s="133"/>
      <c r="S24" s="1618"/>
    </row>
    <row r="25" spans="1:19">
      <c r="A25" s="54"/>
      <c r="B25" s="54"/>
      <c r="C25" s="136" t="s">
        <v>117</v>
      </c>
      <c r="D25" s="118"/>
      <c r="E25" s="118"/>
      <c r="F25" s="118"/>
      <c r="G25" s="118"/>
      <c r="H25" s="118"/>
      <c r="I25" s="118"/>
      <c r="J25" s="118"/>
      <c r="K25" s="118"/>
      <c r="L25" s="127"/>
      <c r="M25" s="127"/>
      <c r="N25" s="127"/>
      <c r="O25" s="127"/>
      <c r="P25" s="137">
        <f>SUM(P26:P31)</f>
        <v>4057500</v>
      </c>
      <c r="Q25" s="138"/>
      <c r="R25" s="138"/>
      <c r="S25" s="1618"/>
    </row>
    <row r="26" spans="1:19" ht="18.75" customHeight="1">
      <c r="A26" s="54"/>
      <c r="B26" s="54"/>
      <c r="C26" s="122" t="s">
        <v>118</v>
      </c>
      <c r="D26" s="72"/>
      <c r="E26" s="72"/>
      <c r="F26" s="72"/>
      <c r="G26" s="72"/>
      <c r="H26" s="72"/>
      <c r="I26" s="72"/>
      <c r="J26" s="72"/>
      <c r="K26" s="72"/>
      <c r="L26" s="125">
        <v>10000</v>
      </c>
      <c r="M26" s="125"/>
      <c r="N26" s="125"/>
      <c r="O26" s="125">
        <v>5</v>
      </c>
      <c r="P26" s="125">
        <f>O26*L26</f>
        <v>50000</v>
      </c>
      <c r="Q26" s="126"/>
      <c r="R26" s="126"/>
      <c r="S26" s="1596" t="s">
        <v>116</v>
      </c>
    </row>
    <row r="27" spans="1:19" ht="21.75" customHeight="1">
      <c r="A27" s="54"/>
      <c r="B27" s="54"/>
      <c r="C27" s="122" t="s">
        <v>119</v>
      </c>
      <c r="D27" s="72"/>
      <c r="E27" s="72"/>
      <c r="F27" s="72"/>
      <c r="G27" s="118"/>
      <c r="H27" s="118"/>
      <c r="I27" s="118"/>
      <c r="J27" s="118"/>
      <c r="K27" s="118"/>
      <c r="L27" s="125">
        <v>7</v>
      </c>
      <c r="M27" s="125"/>
      <c r="N27" s="125"/>
      <c r="O27" s="125">
        <v>2000</v>
      </c>
      <c r="P27" s="125">
        <f>O27*L27</f>
        <v>14000</v>
      </c>
      <c r="Q27" s="126"/>
      <c r="R27" s="126"/>
      <c r="S27" s="1597"/>
    </row>
    <row r="28" spans="1:19" ht="21.75" customHeight="1">
      <c r="A28" s="54"/>
      <c r="B28" s="139"/>
      <c r="C28" s="140" t="s">
        <v>120</v>
      </c>
      <c r="D28" s="141"/>
      <c r="E28" s="72"/>
      <c r="F28" s="72"/>
      <c r="G28" s="118"/>
      <c r="H28" s="118"/>
      <c r="I28" s="118"/>
      <c r="J28" s="118"/>
      <c r="K28" s="118"/>
      <c r="L28" s="125">
        <v>7</v>
      </c>
      <c r="M28" s="125"/>
      <c r="N28" s="125">
        <v>7</v>
      </c>
      <c r="O28" s="125">
        <v>3000</v>
      </c>
      <c r="P28" s="125">
        <f>O28*N28*L28</f>
        <v>147000</v>
      </c>
      <c r="Q28" s="126"/>
      <c r="R28" s="126"/>
      <c r="S28" s="1597"/>
    </row>
    <row r="29" spans="1:19" ht="22.5" customHeight="1">
      <c r="A29" s="54"/>
      <c r="B29" s="139"/>
      <c r="C29" s="140" t="s">
        <v>121</v>
      </c>
      <c r="D29" s="141"/>
      <c r="E29" s="72"/>
      <c r="F29" s="72"/>
      <c r="G29" s="118"/>
      <c r="H29" s="118"/>
      <c r="I29" s="118"/>
      <c r="J29" s="118"/>
      <c r="K29" s="118"/>
      <c r="L29" s="125">
        <v>7</v>
      </c>
      <c r="M29" s="125"/>
      <c r="N29" s="125">
        <v>7</v>
      </c>
      <c r="O29" s="125">
        <v>70000</v>
      </c>
      <c r="P29" s="125">
        <f>O29*N29*L29</f>
        <v>3430000</v>
      </c>
      <c r="Q29" s="126"/>
      <c r="R29" s="126"/>
      <c r="S29" s="1597"/>
    </row>
    <row r="30" spans="1:19" ht="21.75" customHeight="1">
      <c r="A30" s="54"/>
      <c r="B30" s="139"/>
      <c r="C30" s="140" t="s">
        <v>122</v>
      </c>
      <c r="D30" s="141"/>
      <c r="E30" s="72"/>
      <c r="F30" s="72"/>
      <c r="G30" s="118"/>
      <c r="H30" s="118"/>
      <c r="I30" s="118"/>
      <c r="J30" s="118"/>
      <c r="K30" s="118"/>
      <c r="L30" s="125">
        <v>7</v>
      </c>
      <c r="M30" s="125"/>
      <c r="N30" s="125">
        <v>7</v>
      </c>
      <c r="O30" s="125">
        <v>3500</v>
      </c>
      <c r="P30" s="125">
        <f>O30*N30*L30</f>
        <v>171500</v>
      </c>
      <c r="Q30" s="126"/>
      <c r="R30" s="126"/>
      <c r="S30" s="1597"/>
    </row>
    <row r="31" spans="1:19">
      <c r="A31" s="54"/>
      <c r="B31" s="139"/>
      <c r="C31" s="142" t="s">
        <v>123</v>
      </c>
      <c r="D31" s="141"/>
      <c r="E31" s="72"/>
      <c r="F31" s="72"/>
      <c r="G31" s="118"/>
      <c r="H31" s="118"/>
      <c r="I31" s="118"/>
      <c r="J31" s="118"/>
      <c r="K31" s="118"/>
      <c r="L31" s="125">
        <v>7</v>
      </c>
      <c r="M31" s="125"/>
      <c r="N31" s="125">
        <v>7</v>
      </c>
      <c r="O31" s="125">
        <v>5000</v>
      </c>
      <c r="P31" s="125">
        <f>O31*N31*L31</f>
        <v>245000</v>
      </c>
      <c r="Q31" s="126"/>
      <c r="R31" s="126"/>
      <c r="S31" s="1598"/>
    </row>
    <row r="32" spans="1:19" ht="51.75" customHeight="1">
      <c r="A32" s="54"/>
      <c r="B32" s="54"/>
      <c r="C32" s="1602" t="s">
        <v>124</v>
      </c>
      <c r="D32" s="1603"/>
      <c r="E32" s="1603"/>
      <c r="F32" s="1603"/>
      <c r="G32" s="1603"/>
      <c r="H32" s="1603"/>
      <c r="I32" s="1603"/>
      <c r="J32" s="1603"/>
      <c r="K32" s="1604"/>
      <c r="L32" s="135"/>
      <c r="M32" s="135"/>
      <c r="N32" s="135"/>
      <c r="O32" s="135"/>
      <c r="P32" s="137">
        <f>SUM(P33:P40)</f>
        <v>382600</v>
      </c>
      <c r="Q32" s="138"/>
      <c r="R32" s="138"/>
      <c r="S32" s="143"/>
    </row>
    <row r="33" spans="1:19">
      <c r="A33" s="54"/>
      <c r="B33" s="139"/>
      <c r="C33" s="140" t="s">
        <v>125</v>
      </c>
      <c r="D33" s="141"/>
      <c r="E33" s="72"/>
      <c r="F33" s="72"/>
      <c r="G33" s="72"/>
      <c r="H33" s="72"/>
      <c r="I33" s="72"/>
      <c r="J33" s="72"/>
      <c r="K33" s="72"/>
      <c r="L33" s="135">
        <v>25</v>
      </c>
      <c r="M33" s="135"/>
      <c r="N33" s="135">
        <v>8</v>
      </c>
      <c r="O33" s="135">
        <v>500</v>
      </c>
      <c r="P33" s="125">
        <f>O33*N33*L33</f>
        <v>100000</v>
      </c>
      <c r="Q33" s="138"/>
      <c r="R33" s="138"/>
      <c r="S33" s="143"/>
    </row>
    <row r="34" spans="1:19">
      <c r="A34" s="54"/>
      <c r="B34" s="139"/>
      <c r="C34" s="140" t="s">
        <v>126</v>
      </c>
      <c r="D34" s="141"/>
      <c r="E34" s="72"/>
      <c r="F34" s="72"/>
      <c r="G34" s="72"/>
      <c r="H34" s="72"/>
      <c r="I34" s="72"/>
      <c r="J34" s="72"/>
      <c r="K34" s="72"/>
      <c r="L34" s="135">
        <v>25</v>
      </c>
      <c r="M34" s="135"/>
      <c r="N34" s="135">
        <v>16</v>
      </c>
      <c r="O34" s="135">
        <v>50</v>
      </c>
      <c r="P34" s="125">
        <f>O34*N34*L34</f>
        <v>20000</v>
      </c>
      <c r="Q34" s="138"/>
      <c r="R34" s="138"/>
      <c r="S34" s="143"/>
    </row>
    <row r="35" spans="1:19">
      <c r="A35" s="54"/>
      <c r="B35" s="139"/>
      <c r="C35" s="140" t="s">
        <v>127</v>
      </c>
      <c r="D35" s="141"/>
      <c r="E35" s="72"/>
      <c r="F35" s="72"/>
      <c r="G35" s="72"/>
      <c r="H35" s="72"/>
      <c r="I35" s="72"/>
      <c r="J35" s="72"/>
      <c r="K35" s="72"/>
      <c r="L35" s="135">
        <v>2</v>
      </c>
      <c r="M35" s="135"/>
      <c r="N35" s="135">
        <v>48</v>
      </c>
      <c r="O35" s="135">
        <v>600</v>
      </c>
      <c r="P35" s="125">
        <f>O35*N35*L35</f>
        <v>57600</v>
      </c>
      <c r="Q35" s="138"/>
      <c r="R35" s="138"/>
      <c r="S35" s="143"/>
    </row>
    <row r="36" spans="1:19">
      <c r="A36" s="54"/>
      <c r="B36" s="139"/>
      <c r="C36" s="140" t="s">
        <v>128</v>
      </c>
      <c r="D36" s="141"/>
      <c r="E36" s="72"/>
      <c r="F36" s="72"/>
      <c r="G36" s="72"/>
      <c r="H36" s="72"/>
      <c r="I36" s="72"/>
      <c r="J36" s="72"/>
      <c r="K36" s="72"/>
      <c r="L36" s="135"/>
      <c r="M36" s="135"/>
      <c r="N36" s="135">
        <v>8</v>
      </c>
      <c r="O36" s="135">
        <v>3500</v>
      </c>
      <c r="P36" s="125">
        <f>O36*N36</f>
        <v>28000</v>
      </c>
      <c r="Q36" s="138"/>
      <c r="R36" s="138"/>
      <c r="S36" s="143"/>
    </row>
    <row r="37" spans="1:19">
      <c r="A37" s="54"/>
      <c r="B37" s="139"/>
      <c r="C37" s="140" t="s">
        <v>129</v>
      </c>
      <c r="D37" s="141"/>
      <c r="E37" s="72"/>
      <c r="F37" s="72"/>
      <c r="G37" s="72"/>
      <c r="H37" s="72"/>
      <c r="I37" s="72"/>
      <c r="J37" s="72"/>
      <c r="K37" s="72"/>
      <c r="L37" s="135">
        <v>25</v>
      </c>
      <c r="M37" s="135"/>
      <c r="N37" s="135">
        <v>8</v>
      </c>
      <c r="O37" s="135">
        <v>70</v>
      </c>
      <c r="P37" s="125">
        <f>O37*N37*L37</f>
        <v>14000</v>
      </c>
      <c r="Q37" s="138"/>
      <c r="R37" s="138"/>
      <c r="S37" s="143"/>
    </row>
    <row r="38" spans="1:19">
      <c r="A38" s="54"/>
      <c r="B38" s="139"/>
      <c r="C38" s="140" t="s">
        <v>130</v>
      </c>
      <c r="D38" s="141"/>
      <c r="E38" s="72"/>
      <c r="F38" s="72"/>
      <c r="G38" s="72"/>
      <c r="H38" s="72"/>
      <c r="I38" s="72"/>
      <c r="J38" s="72"/>
      <c r="K38" s="72"/>
      <c r="L38" s="135">
        <v>2</v>
      </c>
      <c r="M38" s="135"/>
      <c r="N38" s="135">
        <v>8</v>
      </c>
      <c r="O38" s="135">
        <v>2500</v>
      </c>
      <c r="P38" s="125">
        <f>O38*N38*L38</f>
        <v>40000</v>
      </c>
      <c r="Q38" s="138"/>
      <c r="R38" s="138"/>
      <c r="S38" s="143"/>
    </row>
    <row r="39" spans="1:19" ht="18.75" customHeight="1">
      <c r="A39" s="54"/>
      <c r="B39" s="139"/>
      <c r="C39" s="140" t="s">
        <v>131</v>
      </c>
      <c r="D39" s="141"/>
      <c r="E39" s="72"/>
      <c r="F39" s="72"/>
      <c r="G39" s="72"/>
      <c r="H39" s="72"/>
      <c r="I39" s="72"/>
      <c r="J39" s="72"/>
      <c r="K39" s="72"/>
      <c r="L39" s="125">
        <v>5</v>
      </c>
      <c r="M39" s="125"/>
      <c r="N39" s="125">
        <v>3</v>
      </c>
      <c r="O39" s="125">
        <v>5000</v>
      </c>
      <c r="P39" s="125">
        <f>O39*N39*L39</f>
        <v>75000</v>
      </c>
      <c r="Q39" s="126"/>
      <c r="R39" s="126"/>
      <c r="S39" s="143"/>
    </row>
    <row r="40" spans="1:19">
      <c r="A40" s="54"/>
      <c r="B40" s="139"/>
      <c r="C40" s="140" t="s">
        <v>132</v>
      </c>
      <c r="D40" s="141"/>
      <c r="E40" s="72"/>
      <c r="F40" s="72"/>
      <c r="G40" s="72"/>
      <c r="H40" s="72"/>
      <c r="I40" s="72"/>
      <c r="J40" s="72"/>
      <c r="K40" s="72"/>
      <c r="L40" s="125">
        <v>5</v>
      </c>
      <c r="M40" s="125"/>
      <c r="N40" s="125">
        <v>8</v>
      </c>
      <c r="O40" s="125">
        <v>1200</v>
      </c>
      <c r="P40" s="125">
        <f>O40*N40*L40</f>
        <v>48000</v>
      </c>
      <c r="Q40" s="126"/>
      <c r="R40" s="126"/>
      <c r="S40" s="143"/>
    </row>
    <row r="41" spans="1:19">
      <c r="A41" s="54"/>
      <c r="B41" s="54"/>
      <c r="C41" s="134" t="s">
        <v>133</v>
      </c>
      <c r="D41" s="118"/>
      <c r="E41" s="118"/>
      <c r="F41" s="118"/>
      <c r="G41" s="118"/>
      <c r="H41" s="118"/>
      <c r="I41" s="118"/>
      <c r="J41" s="118"/>
      <c r="K41" s="118"/>
      <c r="L41" s="135"/>
      <c r="M41" s="135"/>
      <c r="N41" s="135"/>
      <c r="O41" s="135"/>
      <c r="P41" s="137">
        <f>SUM(P42:P50)</f>
        <v>795900</v>
      </c>
      <c r="Q41" s="145"/>
      <c r="R41" s="145"/>
      <c r="S41" s="146"/>
    </row>
    <row r="42" spans="1:19">
      <c r="A42" s="54"/>
      <c r="B42" s="139"/>
      <c r="C42" s="140" t="s">
        <v>134</v>
      </c>
      <c r="D42" s="141"/>
      <c r="E42" s="118"/>
      <c r="F42" s="118"/>
      <c r="G42" s="118"/>
      <c r="H42" s="118"/>
      <c r="I42" s="118"/>
      <c r="J42" s="118"/>
      <c r="K42" s="118"/>
      <c r="L42" s="125">
        <v>1000</v>
      </c>
      <c r="M42" s="125"/>
      <c r="N42" s="125"/>
      <c r="O42" s="125">
        <v>100</v>
      </c>
      <c r="P42" s="125">
        <f>O42*L42</f>
        <v>100000</v>
      </c>
      <c r="Q42" s="126"/>
      <c r="R42" s="126"/>
      <c r="S42" s="143"/>
    </row>
    <row r="43" spans="1:19">
      <c r="A43" s="54"/>
      <c r="B43" s="139"/>
      <c r="C43" s="140" t="s">
        <v>135</v>
      </c>
      <c r="D43" s="141"/>
      <c r="E43" s="118"/>
      <c r="F43" s="118"/>
      <c r="G43" s="118"/>
      <c r="H43" s="118"/>
      <c r="I43" s="118"/>
      <c r="J43" s="118"/>
      <c r="K43" s="118"/>
      <c r="L43" s="125">
        <v>100</v>
      </c>
      <c r="M43" s="125"/>
      <c r="N43" s="125">
        <v>7</v>
      </c>
      <c r="O43" s="125">
        <v>500</v>
      </c>
      <c r="P43" s="125">
        <f>O43*N43*L43</f>
        <v>350000</v>
      </c>
      <c r="Q43" s="126"/>
      <c r="R43" s="126"/>
      <c r="S43" s="143"/>
    </row>
    <row r="44" spans="1:19">
      <c r="A44" s="54"/>
      <c r="B44" s="139"/>
      <c r="C44" s="140" t="s">
        <v>136</v>
      </c>
      <c r="D44" s="141"/>
      <c r="E44" s="118"/>
      <c r="F44" s="118"/>
      <c r="G44" s="118"/>
      <c r="H44" s="118"/>
      <c r="I44" s="118"/>
      <c r="J44" s="118"/>
      <c r="K44" s="118"/>
      <c r="L44" s="125">
        <v>100</v>
      </c>
      <c r="M44" s="125"/>
      <c r="N44" s="125">
        <v>14</v>
      </c>
      <c r="O44" s="125">
        <v>50</v>
      </c>
      <c r="P44" s="125">
        <f>O44*N44*L44</f>
        <v>70000</v>
      </c>
      <c r="Q44" s="126"/>
      <c r="R44" s="126"/>
      <c r="S44" s="143"/>
    </row>
    <row r="45" spans="1:19">
      <c r="A45" s="54"/>
      <c r="B45" s="139"/>
      <c r="C45" s="140" t="s">
        <v>137</v>
      </c>
      <c r="D45" s="141"/>
      <c r="E45" s="118"/>
      <c r="F45" s="118"/>
      <c r="G45" s="118"/>
      <c r="H45" s="118"/>
      <c r="I45" s="118"/>
      <c r="J45" s="118"/>
      <c r="K45" s="118"/>
      <c r="L45" s="125">
        <v>6</v>
      </c>
      <c r="M45" s="125"/>
      <c r="N45" s="125">
        <v>7</v>
      </c>
      <c r="O45" s="125">
        <v>1200</v>
      </c>
      <c r="P45" s="125">
        <f>O45*N45*L45</f>
        <v>50400</v>
      </c>
      <c r="Q45" s="126"/>
      <c r="R45" s="126"/>
      <c r="S45" s="143"/>
    </row>
    <row r="46" spans="1:19">
      <c r="A46" s="54"/>
      <c r="B46" s="139"/>
      <c r="C46" s="140" t="s">
        <v>138</v>
      </c>
      <c r="D46" s="141"/>
      <c r="E46" s="118"/>
      <c r="F46" s="118"/>
      <c r="G46" s="118"/>
      <c r="H46" s="118"/>
      <c r="I46" s="118"/>
      <c r="J46" s="118"/>
      <c r="K46" s="118"/>
      <c r="L46" s="125"/>
      <c r="M46" s="125"/>
      <c r="N46" s="125">
        <v>7</v>
      </c>
      <c r="O46" s="125">
        <v>3500</v>
      </c>
      <c r="P46" s="125">
        <f>O46*N46</f>
        <v>24500</v>
      </c>
      <c r="Q46" s="126"/>
      <c r="R46" s="126"/>
      <c r="S46" s="143"/>
    </row>
    <row r="47" spans="1:19">
      <c r="A47" s="54"/>
      <c r="B47" s="139"/>
      <c r="C47" s="140" t="s">
        <v>139</v>
      </c>
      <c r="D47" s="141"/>
      <c r="E47" s="118"/>
      <c r="F47" s="118"/>
      <c r="G47" s="118"/>
      <c r="H47" s="118"/>
      <c r="I47" s="118"/>
      <c r="J47" s="118"/>
      <c r="K47" s="118"/>
      <c r="L47" s="125">
        <v>100</v>
      </c>
      <c r="M47" s="125"/>
      <c r="N47" s="125">
        <v>7</v>
      </c>
      <c r="O47" s="125">
        <v>70</v>
      </c>
      <c r="P47" s="125">
        <f>O47*N47*L47</f>
        <v>49000</v>
      </c>
      <c r="Q47" s="126"/>
      <c r="R47" s="126"/>
      <c r="S47" s="143"/>
    </row>
    <row r="48" spans="1:19">
      <c r="A48" s="54"/>
      <c r="B48" s="139"/>
      <c r="C48" s="140" t="s">
        <v>140</v>
      </c>
      <c r="D48" s="141"/>
      <c r="E48" s="118"/>
      <c r="F48" s="118"/>
      <c r="G48" s="118"/>
      <c r="H48" s="118"/>
      <c r="I48" s="118"/>
      <c r="J48" s="118"/>
      <c r="K48" s="118"/>
      <c r="L48" s="125">
        <v>2</v>
      </c>
      <c r="M48" s="125"/>
      <c r="N48" s="125">
        <v>7</v>
      </c>
      <c r="O48" s="125">
        <v>2500</v>
      </c>
      <c r="P48" s="125">
        <f>O48*N48*L48</f>
        <v>35000</v>
      </c>
      <c r="Q48" s="126"/>
      <c r="R48" s="126"/>
      <c r="S48" s="143"/>
    </row>
    <row r="49" spans="1:19">
      <c r="A49" s="54"/>
      <c r="B49" s="139"/>
      <c r="C49" s="140" t="s">
        <v>131</v>
      </c>
      <c r="D49" s="141"/>
      <c r="E49" s="118"/>
      <c r="F49" s="118"/>
      <c r="G49" s="118"/>
      <c r="H49" s="118"/>
      <c r="I49" s="118"/>
      <c r="J49" s="118"/>
      <c r="K49" s="118"/>
      <c r="L49" s="125">
        <v>5</v>
      </c>
      <c r="M49" s="125"/>
      <c r="N49" s="125">
        <v>3</v>
      </c>
      <c r="O49" s="125">
        <v>5000</v>
      </c>
      <c r="P49" s="125">
        <f>O49*N49*L49</f>
        <v>75000</v>
      </c>
      <c r="Q49" s="126"/>
      <c r="R49" s="126"/>
      <c r="S49" s="143"/>
    </row>
    <row r="50" spans="1:19" ht="18" customHeight="1">
      <c r="A50" s="54"/>
      <c r="B50" s="139"/>
      <c r="C50" s="140" t="s">
        <v>141</v>
      </c>
      <c r="D50" s="141"/>
      <c r="E50" s="118"/>
      <c r="F50" s="118"/>
      <c r="G50" s="118"/>
      <c r="H50" s="118"/>
      <c r="I50" s="118"/>
      <c r="J50" s="118"/>
      <c r="K50" s="118"/>
      <c r="L50" s="125">
        <v>5</v>
      </c>
      <c r="M50" s="125"/>
      <c r="N50" s="125">
        <v>7</v>
      </c>
      <c r="O50" s="125">
        <v>1200</v>
      </c>
      <c r="P50" s="125">
        <f>O50*N50*L50</f>
        <v>42000</v>
      </c>
      <c r="Q50" s="126"/>
      <c r="R50" s="126"/>
      <c r="S50" s="143"/>
    </row>
    <row r="51" spans="1:19" ht="46.5" customHeight="1">
      <c r="A51" s="54"/>
      <c r="B51" s="54"/>
      <c r="C51" s="1599" t="s">
        <v>142</v>
      </c>
      <c r="D51" s="1600"/>
      <c r="E51" s="1600"/>
      <c r="F51" s="1600"/>
      <c r="G51" s="1600"/>
      <c r="H51" s="1600"/>
      <c r="I51" s="1600"/>
      <c r="J51" s="1600"/>
      <c r="K51" s="1601"/>
      <c r="L51" s="135"/>
      <c r="M51" s="135"/>
      <c r="N51" s="135"/>
      <c r="O51" s="135"/>
      <c r="P51" s="137">
        <f>SUM(P52:P67)</f>
        <v>3888600</v>
      </c>
      <c r="Q51" s="147"/>
      <c r="R51" s="147"/>
      <c r="S51" s="143"/>
    </row>
    <row r="52" spans="1:19" ht="18" customHeight="1">
      <c r="A52" s="54"/>
      <c r="B52" s="139"/>
      <c r="C52" s="140" t="s">
        <v>143</v>
      </c>
      <c r="D52" s="141"/>
      <c r="E52" s="72"/>
      <c r="F52" s="72"/>
      <c r="G52" s="72"/>
      <c r="H52" s="72"/>
      <c r="I52" s="72"/>
      <c r="J52" s="72"/>
      <c r="K52" s="72"/>
      <c r="L52" s="135">
        <v>10000</v>
      </c>
      <c r="M52" s="135"/>
      <c r="N52" s="135"/>
      <c r="O52" s="135">
        <v>100</v>
      </c>
      <c r="P52" s="125">
        <f>O52*L52</f>
        <v>1000000</v>
      </c>
      <c r="Q52" s="147"/>
      <c r="R52" s="147"/>
      <c r="S52" s="143"/>
    </row>
    <row r="53" spans="1:19" ht="18" customHeight="1">
      <c r="A53" s="54"/>
      <c r="B53" s="139"/>
      <c r="C53" s="140" t="s">
        <v>144</v>
      </c>
      <c r="D53" s="141"/>
      <c r="E53" s="72"/>
      <c r="F53" s="72"/>
      <c r="G53" s="72"/>
      <c r="H53" s="72"/>
      <c r="I53" s="72"/>
      <c r="J53" s="72"/>
      <c r="K53" s="72"/>
      <c r="L53" s="135">
        <v>10000</v>
      </c>
      <c r="M53" s="135"/>
      <c r="N53" s="135"/>
      <c r="O53" s="135">
        <v>50</v>
      </c>
      <c r="P53" s="125">
        <f>O53*L53</f>
        <v>500000</v>
      </c>
      <c r="Q53" s="147"/>
      <c r="R53" s="147"/>
      <c r="S53" s="143"/>
    </row>
    <row r="54" spans="1:19" ht="18" customHeight="1">
      <c r="A54" s="54"/>
      <c r="B54" s="139"/>
      <c r="C54" s="140" t="s">
        <v>145</v>
      </c>
      <c r="D54" s="141"/>
      <c r="E54" s="72"/>
      <c r="F54" s="72"/>
      <c r="G54" s="72"/>
      <c r="H54" s="72"/>
      <c r="I54" s="72"/>
      <c r="J54" s="72"/>
      <c r="K54" s="72"/>
      <c r="L54" s="135">
        <v>154</v>
      </c>
      <c r="M54" s="135"/>
      <c r="N54" s="135"/>
      <c r="O54" s="135">
        <v>2500</v>
      </c>
      <c r="P54" s="125">
        <f>O54*L54</f>
        <v>385000</v>
      </c>
      <c r="Q54" s="147"/>
      <c r="R54" s="147"/>
      <c r="S54" s="143"/>
    </row>
    <row r="55" spans="1:19" ht="18" customHeight="1">
      <c r="A55" s="54"/>
      <c r="B55" s="139"/>
      <c r="C55" s="140" t="s">
        <v>146</v>
      </c>
      <c r="D55" s="141"/>
      <c r="E55" s="72"/>
      <c r="F55" s="72"/>
      <c r="G55" s="72"/>
      <c r="H55" s="72"/>
      <c r="I55" s="72"/>
      <c r="J55" s="72"/>
      <c r="K55" s="72"/>
      <c r="L55" s="135">
        <v>2</v>
      </c>
      <c r="M55" s="135"/>
      <c r="N55" s="135">
        <v>12</v>
      </c>
      <c r="O55" s="135">
        <v>5000</v>
      </c>
      <c r="P55" s="125">
        <f>O55*N55*L55</f>
        <v>120000</v>
      </c>
      <c r="Q55" s="147"/>
      <c r="R55" s="147"/>
      <c r="S55" s="143"/>
    </row>
    <row r="56" spans="1:19" ht="18" customHeight="1">
      <c r="A56" s="54"/>
      <c r="B56" s="139"/>
      <c r="C56" s="140" t="s">
        <v>147</v>
      </c>
      <c r="D56" s="141"/>
      <c r="E56" s="72"/>
      <c r="F56" s="72"/>
      <c r="G56" s="72"/>
      <c r="H56" s="72"/>
      <c r="I56" s="72"/>
      <c r="J56" s="72"/>
      <c r="K56" s="72"/>
      <c r="L56" s="135">
        <v>2</v>
      </c>
      <c r="M56" s="135"/>
      <c r="N56" s="135">
        <v>24</v>
      </c>
      <c r="O56" s="135">
        <v>1200</v>
      </c>
      <c r="P56" s="125">
        <f>O56*N56*L56</f>
        <v>57600</v>
      </c>
      <c r="Q56" s="147"/>
      <c r="R56" s="147"/>
      <c r="S56" s="143"/>
    </row>
    <row r="57" spans="1:19" ht="18" customHeight="1">
      <c r="A57" s="54"/>
      <c r="B57" s="139"/>
      <c r="C57" s="140" t="s">
        <v>148</v>
      </c>
      <c r="D57" s="141"/>
      <c r="E57" s="72"/>
      <c r="F57" s="72"/>
      <c r="G57" s="72"/>
      <c r="H57" s="72"/>
      <c r="I57" s="72"/>
      <c r="J57" s="72"/>
      <c r="K57" s="72"/>
      <c r="L57" s="135">
        <v>9000</v>
      </c>
      <c r="M57" s="135"/>
      <c r="N57" s="135"/>
      <c r="O57" s="135">
        <v>70</v>
      </c>
      <c r="P57" s="125">
        <f>O57*L57</f>
        <v>630000</v>
      </c>
      <c r="Q57" s="147"/>
      <c r="R57" s="147"/>
      <c r="S57" s="143"/>
    </row>
    <row r="58" spans="1:19" ht="18" customHeight="1">
      <c r="A58" s="54"/>
      <c r="B58" s="139"/>
      <c r="C58" s="140" t="s">
        <v>149</v>
      </c>
      <c r="D58" s="141"/>
      <c r="E58" s="72"/>
      <c r="F58" s="72"/>
      <c r="G58" s="72"/>
      <c r="H58" s="72"/>
      <c r="I58" s="72"/>
      <c r="J58" s="72"/>
      <c r="K58" s="72"/>
      <c r="L58" s="135"/>
      <c r="M58" s="135"/>
      <c r="N58" s="135"/>
      <c r="O58" s="135"/>
      <c r="P58" s="125"/>
      <c r="Q58" s="147"/>
      <c r="R58" s="147"/>
      <c r="S58" s="143"/>
    </row>
    <row r="59" spans="1:19" ht="18" customHeight="1">
      <c r="A59" s="54"/>
      <c r="B59" s="139"/>
      <c r="C59" s="140" t="s">
        <v>150</v>
      </c>
      <c r="D59" s="141"/>
      <c r="E59" s="72"/>
      <c r="F59" s="72"/>
      <c r="G59" s="72"/>
      <c r="H59" s="72"/>
      <c r="I59" s="72"/>
      <c r="J59" s="72"/>
      <c r="K59" s="72"/>
      <c r="L59" s="135">
        <v>30</v>
      </c>
      <c r="M59" s="135"/>
      <c r="N59" s="135">
        <v>20</v>
      </c>
      <c r="O59" s="135">
        <v>500</v>
      </c>
      <c r="P59" s="125">
        <f>O59*N59*L59</f>
        <v>300000</v>
      </c>
      <c r="Q59" s="147"/>
      <c r="R59" s="147"/>
      <c r="S59" s="143"/>
    </row>
    <row r="60" spans="1:19" ht="18" customHeight="1">
      <c r="A60" s="54"/>
      <c r="B60" s="139"/>
      <c r="C60" s="140" t="s">
        <v>151</v>
      </c>
      <c r="D60" s="141"/>
      <c r="E60" s="72"/>
      <c r="F60" s="72"/>
      <c r="G60" s="72"/>
      <c r="H60" s="72"/>
      <c r="I60" s="72"/>
      <c r="J60" s="72"/>
      <c r="K60" s="72"/>
      <c r="L60" s="135">
        <v>30</v>
      </c>
      <c r="M60" s="135"/>
      <c r="N60" s="135">
        <v>40</v>
      </c>
      <c r="O60" s="135">
        <v>50</v>
      </c>
      <c r="P60" s="125">
        <f>O60*N60*L60</f>
        <v>60000</v>
      </c>
      <c r="Q60" s="147"/>
      <c r="R60" s="147"/>
      <c r="S60" s="143"/>
    </row>
    <row r="61" spans="1:19" ht="18" customHeight="1">
      <c r="A61" s="54"/>
      <c r="B61" s="139"/>
      <c r="C61" s="140" t="s">
        <v>152</v>
      </c>
      <c r="D61" s="141"/>
      <c r="E61" s="72"/>
      <c r="F61" s="72"/>
      <c r="G61" s="72"/>
      <c r="H61" s="72"/>
      <c r="I61" s="72"/>
      <c r="J61" s="72"/>
      <c r="K61" s="72"/>
      <c r="L61" s="135"/>
      <c r="M61" s="135"/>
      <c r="N61" s="135">
        <v>20</v>
      </c>
      <c r="O61" s="135">
        <v>3500</v>
      </c>
      <c r="P61" s="125">
        <f>O61*N61</f>
        <v>70000</v>
      </c>
      <c r="Q61" s="147"/>
      <c r="R61" s="147"/>
      <c r="S61" s="143"/>
    </row>
    <row r="62" spans="1:19" ht="18" customHeight="1">
      <c r="A62" s="54"/>
      <c r="B62" s="139"/>
      <c r="C62" s="140" t="s">
        <v>153</v>
      </c>
      <c r="D62" s="141"/>
      <c r="E62" s="72"/>
      <c r="F62" s="72"/>
      <c r="G62" s="72"/>
      <c r="H62" s="72"/>
      <c r="I62" s="72"/>
      <c r="J62" s="72"/>
      <c r="K62" s="72"/>
      <c r="L62" s="125">
        <v>30</v>
      </c>
      <c r="M62" s="125"/>
      <c r="N62" s="125">
        <v>20</v>
      </c>
      <c r="O62" s="125">
        <v>70</v>
      </c>
      <c r="P62" s="125">
        <f>O62*N62*L62</f>
        <v>42000</v>
      </c>
      <c r="Q62" s="126"/>
      <c r="R62" s="126"/>
      <c r="S62" s="143"/>
    </row>
    <row r="63" spans="1:19" ht="18" customHeight="1">
      <c r="A63" s="54"/>
      <c r="B63" s="139"/>
      <c r="C63" s="140" t="s">
        <v>154</v>
      </c>
      <c r="D63" s="141"/>
      <c r="E63" s="72"/>
      <c r="F63" s="72"/>
      <c r="G63" s="72"/>
      <c r="H63" s="72"/>
      <c r="I63" s="72"/>
      <c r="J63" s="72"/>
      <c r="K63" s="72"/>
      <c r="L63" s="125">
        <v>6</v>
      </c>
      <c r="M63" s="125"/>
      <c r="N63" s="125">
        <v>20</v>
      </c>
      <c r="O63" s="125">
        <v>1200</v>
      </c>
      <c r="P63" s="125">
        <f>O63*N63*L63</f>
        <v>144000</v>
      </c>
      <c r="Q63" s="126"/>
      <c r="R63" s="126"/>
      <c r="S63" s="143"/>
    </row>
    <row r="64" spans="1:19" ht="18" customHeight="1">
      <c r="A64" s="54"/>
      <c r="B64" s="139"/>
      <c r="C64" s="140" t="s">
        <v>155</v>
      </c>
      <c r="D64" s="141"/>
      <c r="E64" s="72"/>
      <c r="F64" s="72"/>
      <c r="G64" s="72"/>
      <c r="H64" s="72"/>
      <c r="I64" s="72"/>
      <c r="J64" s="72"/>
      <c r="K64" s="72"/>
      <c r="L64" s="125">
        <v>2</v>
      </c>
      <c r="M64" s="125"/>
      <c r="N64" s="125">
        <v>14</v>
      </c>
      <c r="O64" s="125">
        <v>2500</v>
      </c>
      <c r="P64" s="125">
        <f>O64*N64*L64</f>
        <v>70000</v>
      </c>
      <c r="Q64" s="126"/>
      <c r="R64" s="126"/>
      <c r="S64" s="143"/>
    </row>
    <row r="65" spans="1:19" ht="18" customHeight="1">
      <c r="A65" s="54"/>
      <c r="B65" s="139"/>
      <c r="C65" s="140" t="s">
        <v>156</v>
      </c>
      <c r="D65" s="141"/>
      <c r="E65" s="72"/>
      <c r="F65" s="72"/>
      <c r="G65" s="72"/>
      <c r="H65" s="72"/>
      <c r="I65" s="72"/>
      <c r="J65" s="72"/>
      <c r="K65" s="72"/>
      <c r="L65" s="125">
        <v>5</v>
      </c>
      <c r="M65" s="125"/>
      <c r="N65" s="125">
        <v>6</v>
      </c>
      <c r="O65" s="125">
        <v>5000</v>
      </c>
      <c r="P65" s="125">
        <f>O65*N65*L65</f>
        <v>150000</v>
      </c>
      <c r="Q65" s="126"/>
      <c r="R65" s="126"/>
      <c r="S65" s="143"/>
    </row>
    <row r="66" spans="1:19" ht="18" customHeight="1">
      <c r="A66" s="54"/>
      <c r="B66" s="139"/>
      <c r="C66" s="140" t="s">
        <v>157</v>
      </c>
      <c r="D66" s="141"/>
      <c r="E66" s="72"/>
      <c r="F66" s="72"/>
      <c r="G66" s="72"/>
      <c r="H66" s="72"/>
      <c r="I66" s="72"/>
      <c r="J66" s="72"/>
      <c r="K66" s="72"/>
      <c r="L66" s="125">
        <v>5</v>
      </c>
      <c r="M66" s="125"/>
      <c r="N66" s="125">
        <v>20</v>
      </c>
      <c r="O66" s="125">
        <v>1200</v>
      </c>
      <c r="P66" s="125">
        <f>O66*N66*L66</f>
        <v>120000</v>
      </c>
      <c r="Q66" s="126"/>
      <c r="R66" s="126"/>
      <c r="S66" s="143"/>
    </row>
    <row r="67" spans="1:19" ht="18" customHeight="1">
      <c r="A67" s="54"/>
      <c r="B67" s="139"/>
      <c r="C67" s="140" t="s">
        <v>158</v>
      </c>
      <c r="D67" s="141"/>
      <c r="E67" s="72"/>
      <c r="F67" s="72"/>
      <c r="G67" s="72"/>
      <c r="H67" s="72"/>
      <c r="I67" s="72"/>
      <c r="J67" s="72"/>
      <c r="K67" s="72"/>
      <c r="L67" s="125" t="s">
        <v>159</v>
      </c>
      <c r="M67" s="125"/>
      <c r="N67" s="125"/>
      <c r="O67" s="125"/>
      <c r="P67" s="125">
        <v>240000</v>
      </c>
      <c r="Q67" s="126"/>
      <c r="R67" s="126"/>
      <c r="S67" s="143"/>
    </row>
    <row r="68" spans="1:19" ht="35.25" customHeight="1">
      <c r="A68" s="54"/>
      <c r="B68" s="54"/>
      <c r="C68" s="148" t="s">
        <v>160</v>
      </c>
      <c r="D68" s="118"/>
      <c r="E68" s="118"/>
      <c r="F68" s="118"/>
      <c r="G68" s="118"/>
      <c r="H68" s="118"/>
      <c r="I68" s="118"/>
      <c r="J68" s="118"/>
      <c r="K68" s="118"/>
      <c r="L68" s="125" t="s">
        <v>159</v>
      </c>
      <c r="M68" s="135"/>
      <c r="N68" s="135"/>
      <c r="O68" s="135"/>
      <c r="P68" s="137">
        <v>115000</v>
      </c>
      <c r="Q68" s="147"/>
      <c r="R68" s="147"/>
      <c r="S68" s="72"/>
    </row>
    <row r="69" spans="1:19">
      <c r="A69" s="54"/>
      <c r="B69" s="54"/>
      <c r="C69" s="117" t="s">
        <v>161</v>
      </c>
      <c r="D69" s="118"/>
      <c r="E69" s="118"/>
      <c r="F69" s="118"/>
      <c r="G69" s="118"/>
      <c r="H69" s="118"/>
      <c r="I69" s="118"/>
      <c r="J69" s="118"/>
      <c r="K69" s="118"/>
      <c r="L69" s="1449"/>
      <c r="M69" s="1449"/>
      <c r="N69" s="1449"/>
      <c r="O69" s="1449"/>
      <c r="P69" s="137">
        <f>SUM(P70:P77)</f>
        <v>81650</v>
      </c>
      <c r="Q69" s="149"/>
      <c r="R69" s="138"/>
      <c r="S69" s="72"/>
    </row>
    <row r="70" spans="1:19">
      <c r="A70" s="54"/>
      <c r="B70" s="54"/>
      <c r="C70" s="150" t="s">
        <v>162</v>
      </c>
      <c r="D70" s="72"/>
      <c r="E70" s="118"/>
      <c r="F70" s="118"/>
      <c r="G70" s="118"/>
      <c r="H70" s="118"/>
      <c r="I70" s="118"/>
      <c r="J70" s="118"/>
      <c r="K70" s="118"/>
      <c r="L70" s="125">
        <v>14</v>
      </c>
      <c r="M70" s="125"/>
      <c r="N70" s="125"/>
      <c r="O70" s="125">
        <v>600</v>
      </c>
      <c r="P70" s="125">
        <f>O70*L70</f>
        <v>8400</v>
      </c>
      <c r="Q70" s="126"/>
      <c r="R70" s="126"/>
      <c r="S70" s="72"/>
    </row>
    <row r="71" spans="1:19">
      <c r="A71" s="54"/>
      <c r="B71" s="54"/>
      <c r="C71" s="150" t="s">
        <v>163</v>
      </c>
      <c r="D71" s="72"/>
      <c r="E71" s="118"/>
      <c r="F71" s="118"/>
      <c r="G71" s="118"/>
      <c r="H71" s="118"/>
      <c r="I71" s="118"/>
      <c r="J71" s="118"/>
      <c r="K71" s="118"/>
      <c r="L71" s="125">
        <v>14</v>
      </c>
      <c r="M71" s="125"/>
      <c r="N71" s="125"/>
      <c r="O71" s="125">
        <v>800</v>
      </c>
      <c r="P71" s="125">
        <f>O71*L71</f>
        <v>11200</v>
      </c>
      <c r="Q71" s="126"/>
      <c r="R71" s="126"/>
      <c r="S71" s="72"/>
    </row>
    <row r="72" spans="1:19">
      <c r="A72" s="54"/>
      <c r="B72" s="54"/>
      <c r="C72" s="150" t="s">
        <v>164</v>
      </c>
      <c r="D72" s="72"/>
      <c r="E72" s="118"/>
      <c r="F72" s="118"/>
      <c r="G72" s="118"/>
      <c r="H72" s="118"/>
      <c r="I72" s="118"/>
      <c r="J72" s="118"/>
      <c r="K72" s="118"/>
      <c r="L72" s="125">
        <v>14</v>
      </c>
      <c r="M72" s="125"/>
      <c r="N72" s="125"/>
      <c r="O72" s="125">
        <v>1000</v>
      </c>
      <c r="P72" s="125">
        <f>O72*L72</f>
        <v>14000</v>
      </c>
      <c r="Q72" s="126"/>
      <c r="R72" s="126"/>
      <c r="S72" s="72"/>
    </row>
    <row r="73" spans="1:19">
      <c r="A73" s="54"/>
      <c r="B73" s="54"/>
      <c r="C73" s="150" t="s">
        <v>165</v>
      </c>
      <c r="D73" s="72"/>
      <c r="E73" s="118"/>
      <c r="F73" s="118"/>
      <c r="G73" s="118"/>
      <c r="H73" s="118"/>
      <c r="I73" s="118"/>
      <c r="J73" s="118"/>
      <c r="K73" s="118"/>
      <c r="L73" s="125">
        <v>14</v>
      </c>
      <c r="M73" s="125"/>
      <c r="N73" s="125"/>
      <c r="O73" s="125">
        <v>1300</v>
      </c>
      <c r="P73" s="125">
        <f>O73*L73</f>
        <v>18200</v>
      </c>
      <c r="Q73" s="126"/>
      <c r="R73" s="126"/>
      <c r="S73" s="72"/>
    </row>
    <row r="74" spans="1:19">
      <c r="A74" s="54"/>
      <c r="B74" s="54"/>
      <c r="C74" s="150" t="s">
        <v>166</v>
      </c>
      <c r="D74" s="72"/>
      <c r="E74" s="118"/>
      <c r="F74" s="118"/>
      <c r="G74" s="118"/>
      <c r="H74" s="118"/>
      <c r="I74" s="118"/>
      <c r="J74" s="118"/>
      <c r="K74" s="118"/>
      <c r="L74" s="125"/>
      <c r="M74" s="125"/>
      <c r="N74" s="125"/>
      <c r="O74" s="125"/>
      <c r="P74" s="125"/>
      <c r="Q74" s="126"/>
      <c r="R74" s="126"/>
      <c r="S74" s="72"/>
    </row>
    <row r="75" spans="1:19">
      <c r="A75" s="54"/>
      <c r="B75" s="54"/>
      <c r="C75" s="150" t="s">
        <v>167</v>
      </c>
      <c r="D75" s="72"/>
      <c r="E75" s="118"/>
      <c r="F75" s="118"/>
      <c r="G75" s="118"/>
      <c r="H75" s="118"/>
      <c r="I75" s="118"/>
      <c r="J75" s="118"/>
      <c r="K75" s="118"/>
      <c r="L75" s="125">
        <v>14</v>
      </c>
      <c r="M75" s="125"/>
      <c r="N75" s="125"/>
      <c r="O75" s="125">
        <v>1700</v>
      </c>
      <c r="P75" s="125">
        <f>O75*L75</f>
        <v>23800</v>
      </c>
      <c r="Q75" s="126"/>
      <c r="R75" s="126"/>
      <c r="S75" s="72"/>
    </row>
    <row r="76" spans="1:19">
      <c r="A76" s="54"/>
      <c r="B76" s="54"/>
      <c r="C76" s="150" t="s">
        <v>168</v>
      </c>
      <c r="D76" s="72"/>
      <c r="E76" s="118"/>
      <c r="F76" s="118"/>
      <c r="G76" s="118"/>
      <c r="H76" s="118"/>
      <c r="I76" s="118"/>
      <c r="J76" s="118"/>
      <c r="K76" s="118"/>
      <c r="L76" s="125">
        <v>10</v>
      </c>
      <c r="M76" s="125"/>
      <c r="N76" s="125"/>
      <c r="O76" s="125">
        <v>600</v>
      </c>
      <c r="P76" s="125">
        <f>O76*L76</f>
        <v>6000</v>
      </c>
      <c r="Q76" s="126"/>
      <c r="R76" s="126"/>
      <c r="S76" s="72"/>
    </row>
    <row r="77" spans="1:19">
      <c r="A77" s="54"/>
      <c r="B77" s="54"/>
      <c r="C77" s="150" t="s">
        <v>169</v>
      </c>
      <c r="D77" s="72"/>
      <c r="E77" s="118"/>
      <c r="F77" s="118"/>
      <c r="G77" s="118"/>
      <c r="H77" s="118"/>
      <c r="I77" s="118"/>
      <c r="J77" s="118"/>
      <c r="K77" s="118"/>
      <c r="L77" s="125">
        <v>5</v>
      </c>
      <c r="M77" s="125"/>
      <c r="N77" s="125"/>
      <c r="O77" s="125">
        <v>10</v>
      </c>
      <c r="P77" s="125">
        <f>O77*L77</f>
        <v>50</v>
      </c>
      <c r="Q77" s="126"/>
      <c r="R77" s="126"/>
      <c r="S77" s="72"/>
    </row>
    <row r="78" spans="1:19">
      <c r="A78" s="54"/>
      <c r="B78" s="54"/>
      <c r="C78" s="151" t="s">
        <v>170</v>
      </c>
      <c r="D78" s="118"/>
      <c r="E78" s="118"/>
      <c r="F78" s="118"/>
      <c r="G78" s="118"/>
      <c r="H78" s="118"/>
      <c r="I78" s="118"/>
      <c r="J78" s="118"/>
      <c r="K78" s="118"/>
      <c r="L78" s="135" t="s">
        <v>159</v>
      </c>
      <c r="M78" s="135"/>
      <c r="N78" s="135"/>
      <c r="O78" s="135"/>
      <c r="P78" s="137">
        <v>4750</v>
      </c>
      <c r="Q78" s="152"/>
      <c r="R78" s="152"/>
      <c r="S78" s="72"/>
    </row>
    <row r="79" spans="1:19">
      <c r="C79" s="153"/>
      <c r="D79" s="154"/>
      <c r="E79" s="154"/>
      <c r="F79" s="154"/>
    </row>
    <row r="80" spans="1:19">
      <c r="C80" s="155" t="s">
        <v>171</v>
      </c>
      <c r="D80" s="156" t="s">
        <v>172</v>
      </c>
      <c r="E80" s="156"/>
      <c r="F80" s="156"/>
    </row>
  </sheetData>
  <mergeCells count="21">
    <mergeCell ref="S26:S31"/>
    <mergeCell ref="C51:K51"/>
    <mergeCell ref="C32:K32"/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8"/>
    <mergeCell ref="P7:P8"/>
    <mergeCell ref="H7:H8"/>
    <mergeCell ref="I7:K8"/>
    <mergeCell ref="L7:L8"/>
    <mergeCell ref="M7:M8"/>
    <mergeCell ref="N7:N8"/>
    <mergeCell ref="O7:O8"/>
    <mergeCell ref="S16:S25"/>
  </mergeCells>
  <pageMargins left="0.51181102362204722" right="0.31496062992125984" top="0.74803149606299213" bottom="0.55118110236220474" header="0.31496062992125984" footer="0.31496062992125984"/>
  <pageSetup paperSize="9" scale="78" orientation="landscape" r:id="rId1"/>
  <headerFooter>
    <oddFooter>&amp;C&amp;P/4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3"/>
  <sheetViews>
    <sheetView zoomScaleNormal="100" zoomScaleSheetLayoutView="110" workbookViewId="0">
      <selection activeCell="C22" sqref="C22"/>
    </sheetView>
  </sheetViews>
  <sheetFormatPr defaultColWidth="8.375" defaultRowHeight="21.75"/>
  <cols>
    <col min="1" max="1" width="4.625" style="39" customWidth="1"/>
    <col min="2" max="2" width="4.75" style="39" customWidth="1"/>
    <col min="3" max="3" width="34.25" style="82" customWidth="1"/>
    <col min="4" max="4" width="7.875" style="39" customWidth="1"/>
    <col min="5" max="5" width="7.125" style="39" customWidth="1"/>
    <col min="6" max="6" width="7.375" style="39" customWidth="1"/>
    <col min="7" max="7" width="7.25" style="39" customWidth="1"/>
    <col min="8" max="8" width="8.75" style="39" customWidth="1"/>
    <col min="9" max="11" width="4.875" style="39" customWidth="1"/>
    <col min="12" max="12" width="6.875" style="80" customWidth="1"/>
    <col min="13" max="13" width="7.375" style="39" bestFit="1" customWidth="1"/>
    <col min="14" max="14" width="7.625" style="80" customWidth="1"/>
    <col min="15" max="15" width="9.25" style="39" customWidth="1"/>
    <col min="16" max="16" width="9.375" style="158" customWidth="1"/>
    <col min="17" max="17" width="5.75" style="158" customWidth="1"/>
    <col min="18" max="18" width="6.25" style="158" customWidth="1"/>
    <col min="19" max="19" width="22" style="39" customWidth="1"/>
    <col min="20" max="16384" width="8.375" style="39"/>
  </cols>
  <sheetData>
    <row r="1" spans="1:20" ht="25.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"/>
    </row>
    <row r="2" spans="1:20" ht="25.5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"/>
    </row>
    <row r="3" spans="1:20">
      <c r="A3" s="79" t="s">
        <v>0</v>
      </c>
      <c r="B3" s="79"/>
      <c r="C3" s="79"/>
      <c r="D3" s="40"/>
      <c r="E3" s="40"/>
      <c r="F3" s="40"/>
    </row>
    <row r="4" spans="1:20">
      <c r="A4" s="79" t="s">
        <v>1</v>
      </c>
      <c r="B4" s="79"/>
      <c r="C4" s="79"/>
    </row>
    <row r="5" spans="1:20">
      <c r="S5" s="83" t="s">
        <v>86</v>
      </c>
    </row>
    <row r="6" spans="1:20" s="84" customFormat="1" ht="18.75" customHeight="1">
      <c r="A6" s="1587" t="s">
        <v>87</v>
      </c>
      <c r="B6" s="1605"/>
      <c r="C6" s="1610" t="s">
        <v>88</v>
      </c>
      <c r="D6" s="1612" t="s">
        <v>15</v>
      </c>
      <c r="E6" s="1613"/>
      <c r="F6" s="1612" t="s">
        <v>28</v>
      </c>
      <c r="G6" s="1613"/>
      <c r="H6" s="1616" t="s">
        <v>63</v>
      </c>
      <c r="I6" s="1616"/>
      <c r="J6" s="1616"/>
      <c r="K6" s="1616"/>
      <c r="L6" s="1616"/>
      <c r="M6" s="1616"/>
      <c r="N6" s="1616"/>
      <c r="O6" s="1616"/>
      <c r="P6" s="1616"/>
      <c r="Q6" s="1577" t="s">
        <v>89</v>
      </c>
      <c r="R6" s="1584" t="s">
        <v>90</v>
      </c>
      <c r="S6" s="1577" t="s">
        <v>91</v>
      </c>
    </row>
    <row r="7" spans="1:20" s="84" customFormat="1" ht="18" customHeight="1">
      <c r="A7" s="1606"/>
      <c r="B7" s="1607"/>
      <c r="C7" s="1611"/>
      <c r="D7" s="1614"/>
      <c r="E7" s="1615"/>
      <c r="F7" s="1614"/>
      <c r="G7" s="1615"/>
      <c r="H7" s="1619" t="s">
        <v>76</v>
      </c>
      <c r="I7" s="1619" t="s">
        <v>77</v>
      </c>
      <c r="J7" s="1619"/>
      <c r="K7" s="1619"/>
      <c r="L7" s="1583" t="s">
        <v>175</v>
      </c>
      <c r="M7" s="1585" t="s">
        <v>92</v>
      </c>
      <c r="N7" s="1583" t="s">
        <v>93</v>
      </c>
      <c r="O7" s="1583" t="s">
        <v>94</v>
      </c>
      <c r="P7" s="1620" t="s">
        <v>10</v>
      </c>
      <c r="Q7" s="1583"/>
      <c r="R7" s="1585"/>
      <c r="S7" s="1583"/>
    </row>
    <row r="8" spans="1:20" s="84" customFormat="1" ht="42" customHeight="1">
      <c r="A8" s="1608"/>
      <c r="B8" s="1609"/>
      <c r="C8" s="1611"/>
      <c r="D8" s="159" t="s">
        <v>4</v>
      </c>
      <c r="E8" s="159" t="s">
        <v>5</v>
      </c>
      <c r="F8" s="159" t="s">
        <v>4</v>
      </c>
      <c r="G8" s="159" t="s">
        <v>6</v>
      </c>
      <c r="H8" s="1577"/>
      <c r="I8" s="1619"/>
      <c r="J8" s="1619"/>
      <c r="K8" s="1619"/>
      <c r="L8" s="1583" t="s">
        <v>95</v>
      </c>
      <c r="M8" s="1585"/>
      <c r="N8" s="1583"/>
      <c r="O8" s="1583"/>
      <c r="P8" s="1620"/>
      <c r="Q8" s="1583"/>
      <c r="R8" s="1585"/>
      <c r="S8" s="1583"/>
    </row>
    <row r="9" spans="1:20" s="84" customFormat="1" ht="23.25" customHeight="1">
      <c r="A9" s="160" t="s">
        <v>96</v>
      </c>
      <c r="B9" s="160" t="s">
        <v>97</v>
      </c>
      <c r="C9" s="161"/>
      <c r="D9" s="162"/>
      <c r="E9" s="162"/>
      <c r="F9" s="162"/>
      <c r="G9" s="162"/>
      <c r="H9" s="92"/>
      <c r="I9" s="92" t="s">
        <v>78</v>
      </c>
      <c r="J9" s="92" t="s">
        <v>79</v>
      </c>
      <c r="K9" s="92" t="s">
        <v>80</v>
      </c>
      <c r="L9" s="92"/>
      <c r="M9" s="92"/>
      <c r="N9" s="92"/>
      <c r="O9" s="92"/>
      <c r="P9" s="163"/>
      <c r="Q9" s="85"/>
      <c r="R9" s="85"/>
      <c r="S9" s="92"/>
    </row>
    <row r="10" spans="1:20" s="84" customFormat="1" ht="20.25" customHeight="1" thickBot="1">
      <c r="A10" s="164"/>
      <c r="B10" s="164"/>
      <c r="C10" s="165" t="s">
        <v>11</v>
      </c>
      <c r="D10" s="166"/>
      <c r="E10" s="166"/>
      <c r="F10" s="166"/>
      <c r="G10" s="166"/>
      <c r="H10" s="167"/>
      <c r="I10" s="167"/>
      <c r="J10" s="167"/>
      <c r="K10" s="167"/>
      <c r="L10" s="167"/>
      <c r="M10" s="167"/>
      <c r="N10" s="167"/>
      <c r="O10" s="167"/>
      <c r="P10" s="298">
        <f>P16+P26+P55</f>
        <v>8500000</v>
      </c>
      <c r="Q10" s="97"/>
      <c r="R10" s="97"/>
      <c r="S10" s="92"/>
    </row>
    <row r="11" spans="1:20" s="105" customFormat="1" ht="19.5" thickTop="1">
      <c r="A11" s="100"/>
      <c r="B11" s="100"/>
      <c r="C11" s="101" t="s">
        <v>854</v>
      </c>
      <c r="D11" s="88"/>
      <c r="E11" s="88"/>
      <c r="F11" s="88"/>
      <c r="G11" s="102"/>
      <c r="H11" s="102"/>
      <c r="I11" s="102"/>
      <c r="J11" s="102"/>
      <c r="K11" s="102"/>
      <c r="L11" s="88"/>
      <c r="M11" s="102"/>
      <c r="N11" s="88"/>
      <c r="O11" s="102"/>
      <c r="P11" s="103"/>
      <c r="Q11" s="103"/>
      <c r="R11" s="103"/>
      <c r="S11" s="104"/>
    </row>
    <row r="12" spans="1:20">
      <c r="A12" s="72"/>
      <c r="B12" s="72"/>
      <c r="C12" s="106" t="s">
        <v>831</v>
      </c>
      <c r="D12" s="72"/>
      <c r="E12" s="72"/>
      <c r="F12" s="72"/>
      <c r="G12" s="72"/>
      <c r="H12" s="72"/>
      <c r="I12" s="72"/>
      <c r="J12" s="72"/>
      <c r="K12" s="72"/>
      <c r="L12" s="107"/>
      <c r="M12" s="108"/>
      <c r="N12" s="107"/>
      <c r="O12" s="108"/>
      <c r="P12" s="109"/>
      <c r="Q12" s="110"/>
      <c r="R12" s="110"/>
      <c r="S12" s="72"/>
    </row>
    <row r="13" spans="1:20">
      <c r="A13" s="72"/>
      <c r="B13" s="72"/>
      <c r="C13" s="106" t="s">
        <v>98</v>
      </c>
      <c r="D13" s="72"/>
      <c r="E13" s="72"/>
      <c r="F13" s="72"/>
      <c r="G13" s="72"/>
      <c r="H13" s="72"/>
      <c r="I13" s="72"/>
      <c r="J13" s="72"/>
      <c r="K13" s="72"/>
      <c r="L13" s="107"/>
      <c r="M13" s="108"/>
      <c r="N13" s="107"/>
      <c r="O13" s="108"/>
      <c r="P13" s="109"/>
      <c r="Q13" s="110"/>
      <c r="R13" s="110"/>
      <c r="S13" s="72"/>
    </row>
    <row r="14" spans="1:20">
      <c r="A14" s="54"/>
      <c r="B14" s="54"/>
      <c r="C14" s="168" t="s">
        <v>176</v>
      </c>
      <c r="D14" s="169"/>
      <c r="E14" s="169"/>
      <c r="F14" s="169"/>
      <c r="G14" s="170"/>
      <c r="H14" s="170"/>
      <c r="I14" s="170"/>
      <c r="J14" s="170"/>
      <c r="K14" s="170"/>
      <c r="L14" s="171"/>
      <c r="M14" s="172"/>
      <c r="N14" s="171"/>
      <c r="O14" s="172"/>
      <c r="P14" s="173"/>
      <c r="Q14" s="174"/>
      <c r="R14" s="174"/>
      <c r="S14" s="72"/>
    </row>
    <row r="15" spans="1:20">
      <c r="A15" s="54"/>
      <c r="B15" s="54"/>
      <c r="C15" s="465" t="s">
        <v>829</v>
      </c>
      <c r="D15" s="72"/>
      <c r="E15" s="72"/>
      <c r="F15" s="72"/>
      <c r="G15" s="72"/>
      <c r="H15" s="72"/>
      <c r="I15" s="72"/>
      <c r="J15" s="72"/>
      <c r="K15" s="72"/>
      <c r="L15" s="74"/>
      <c r="M15" s="72"/>
      <c r="N15" s="74"/>
      <c r="O15" s="72"/>
      <c r="P15" s="175"/>
      <c r="Q15" s="175"/>
      <c r="R15" s="176"/>
      <c r="S15" s="72"/>
    </row>
    <row r="16" spans="1:20">
      <c r="A16" s="72"/>
      <c r="B16" s="72"/>
      <c r="C16" s="116" t="s">
        <v>12</v>
      </c>
      <c r="D16" s="115"/>
      <c r="E16" s="115"/>
      <c r="F16" s="115"/>
      <c r="G16" s="72"/>
      <c r="H16" s="72"/>
      <c r="I16" s="72"/>
      <c r="J16" s="72"/>
      <c r="K16" s="72"/>
      <c r="L16" s="107"/>
      <c r="M16" s="108"/>
      <c r="N16" s="107"/>
      <c r="O16" s="108"/>
      <c r="P16" s="109">
        <f>P17+P24</f>
        <v>5120000</v>
      </c>
      <c r="Q16" s="110"/>
      <c r="R16" s="110"/>
      <c r="S16" s="72"/>
    </row>
    <row r="17" spans="1:19">
      <c r="A17" s="54"/>
      <c r="B17" s="54"/>
      <c r="C17" s="177" t="s">
        <v>101</v>
      </c>
      <c r="D17" s="118"/>
      <c r="E17" s="118"/>
      <c r="F17" s="118"/>
      <c r="G17" s="118"/>
      <c r="H17" s="118"/>
      <c r="I17" s="118"/>
      <c r="J17" s="118"/>
      <c r="K17" s="118"/>
      <c r="L17" s="119"/>
      <c r="M17" s="118"/>
      <c r="N17" s="119"/>
      <c r="O17" s="118"/>
      <c r="P17" s="175">
        <f>SUM(P18:P23)</f>
        <v>4850000</v>
      </c>
      <c r="Q17" s="176"/>
      <c r="R17" s="176"/>
      <c r="S17" s="72"/>
    </row>
    <row r="18" spans="1:19">
      <c r="A18" s="54"/>
      <c r="B18" s="54"/>
      <c r="C18" s="179" t="s">
        <v>177</v>
      </c>
      <c r="D18" s="72"/>
      <c r="E18" s="72"/>
      <c r="F18" s="72"/>
      <c r="G18" s="72"/>
      <c r="H18" s="466" t="s">
        <v>830</v>
      </c>
      <c r="I18" s="72"/>
      <c r="J18" s="123" t="s">
        <v>104</v>
      </c>
      <c r="K18" s="72"/>
      <c r="L18" s="180">
        <v>1</v>
      </c>
      <c r="M18" s="180" t="s">
        <v>105</v>
      </c>
      <c r="N18" s="181">
        <v>5</v>
      </c>
      <c r="O18" s="182">
        <v>70000</v>
      </c>
      <c r="P18" s="183">
        <f>O18*N18*L18</f>
        <v>350000</v>
      </c>
      <c r="Q18" s="184"/>
      <c r="R18" s="184"/>
      <c r="S18" s="185" t="s">
        <v>178</v>
      </c>
    </row>
    <row r="19" spans="1:19" ht="22.5" customHeight="1">
      <c r="A19" s="54"/>
      <c r="B19" s="54"/>
      <c r="C19" s="179" t="s">
        <v>179</v>
      </c>
      <c r="D19" s="72"/>
      <c r="E19" s="72"/>
      <c r="F19" s="72"/>
      <c r="G19" s="72"/>
      <c r="H19" s="466" t="s">
        <v>830</v>
      </c>
      <c r="I19" s="72"/>
      <c r="J19" s="123" t="s">
        <v>104</v>
      </c>
      <c r="K19" s="72"/>
      <c r="L19" s="74">
        <v>2</v>
      </c>
      <c r="M19" s="74" t="s">
        <v>180</v>
      </c>
      <c r="N19" s="132">
        <v>5</v>
      </c>
      <c r="O19" s="186">
        <v>60000</v>
      </c>
      <c r="P19" s="187">
        <f t="shared" ref="P19:P20" si="0">O19*N19*L19</f>
        <v>600000</v>
      </c>
      <c r="Q19" s="188"/>
      <c r="R19" s="188"/>
      <c r="S19" s="936" t="s">
        <v>1738</v>
      </c>
    </row>
    <row r="20" spans="1:19">
      <c r="A20" s="54"/>
      <c r="B20" s="54"/>
      <c r="C20" s="179" t="s">
        <v>181</v>
      </c>
      <c r="D20" s="72"/>
      <c r="E20" s="72"/>
      <c r="F20" s="72"/>
      <c r="G20" s="72"/>
      <c r="H20" s="466" t="s">
        <v>830</v>
      </c>
      <c r="I20" s="72"/>
      <c r="J20" s="123" t="s">
        <v>104</v>
      </c>
      <c r="K20" s="72"/>
      <c r="L20" s="74">
        <v>2</v>
      </c>
      <c r="M20" s="74" t="s">
        <v>180</v>
      </c>
      <c r="N20" s="132">
        <v>5</v>
      </c>
      <c r="O20" s="186">
        <v>60000</v>
      </c>
      <c r="P20" s="187">
        <f t="shared" si="0"/>
        <v>600000</v>
      </c>
      <c r="Q20" s="188"/>
      <c r="R20" s="188"/>
      <c r="S20" s="936" t="s">
        <v>1739</v>
      </c>
    </row>
    <row r="21" spans="1:19" ht="22.5" customHeight="1">
      <c r="A21" s="54"/>
      <c r="B21" s="54"/>
      <c r="C21" s="179" t="s">
        <v>182</v>
      </c>
      <c r="D21" s="72"/>
      <c r="E21" s="72"/>
      <c r="F21" s="72"/>
      <c r="G21" s="72"/>
      <c r="H21" s="466" t="s">
        <v>830</v>
      </c>
      <c r="I21" s="72"/>
      <c r="J21" s="123" t="s">
        <v>104</v>
      </c>
      <c r="K21" s="72"/>
      <c r="L21" s="74">
        <v>2</v>
      </c>
      <c r="M21" s="74" t="s">
        <v>180</v>
      </c>
      <c r="N21" s="132">
        <v>5</v>
      </c>
      <c r="O21" s="186">
        <v>60000</v>
      </c>
      <c r="P21" s="187">
        <f>O21*N21*L21</f>
        <v>600000</v>
      </c>
      <c r="Q21" s="188"/>
      <c r="R21" s="188"/>
      <c r="S21" s="1455" t="s">
        <v>1740</v>
      </c>
    </row>
    <row r="22" spans="1:19">
      <c r="A22" s="54"/>
      <c r="B22" s="54"/>
      <c r="C22" s="179" t="s">
        <v>183</v>
      </c>
      <c r="D22" s="72"/>
      <c r="E22" s="72"/>
      <c r="F22" s="72"/>
      <c r="G22" s="72"/>
      <c r="H22" s="466" t="s">
        <v>830</v>
      </c>
      <c r="I22" s="72"/>
      <c r="J22" s="123" t="s">
        <v>104</v>
      </c>
      <c r="K22" s="72"/>
      <c r="L22" s="74">
        <v>2</v>
      </c>
      <c r="M22" s="74" t="s">
        <v>180</v>
      </c>
      <c r="N22" s="132">
        <v>5</v>
      </c>
      <c r="O22" s="186">
        <v>60000</v>
      </c>
      <c r="P22" s="187">
        <f>O22*N22*L22</f>
        <v>600000</v>
      </c>
      <c r="Q22" s="188"/>
      <c r="R22" s="188"/>
      <c r="S22" s="936" t="s">
        <v>1741</v>
      </c>
    </row>
    <row r="23" spans="1:19">
      <c r="A23" s="54"/>
      <c r="B23" s="54"/>
      <c r="C23" s="179" t="s">
        <v>184</v>
      </c>
      <c r="D23" s="72"/>
      <c r="E23" s="72"/>
      <c r="F23" s="72"/>
      <c r="G23" s="72"/>
      <c r="H23" s="466" t="s">
        <v>830</v>
      </c>
      <c r="I23" s="72"/>
      <c r="J23" s="123" t="s">
        <v>104</v>
      </c>
      <c r="K23" s="72"/>
      <c r="L23" s="74">
        <v>12</v>
      </c>
      <c r="M23" s="74" t="s">
        <v>109</v>
      </c>
      <c r="N23" s="132">
        <v>7</v>
      </c>
      <c r="O23" s="186">
        <v>25000</v>
      </c>
      <c r="P23" s="187">
        <f>O23*N23*L23</f>
        <v>2100000</v>
      </c>
      <c r="Q23" s="188"/>
      <c r="R23" s="188"/>
      <c r="S23" s="143" t="s">
        <v>1742</v>
      </c>
    </row>
    <row r="24" spans="1:19">
      <c r="A24" s="54"/>
      <c r="B24" s="54"/>
      <c r="C24" s="177" t="s">
        <v>112</v>
      </c>
      <c r="D24" s="118"/>
      <c r="E24" s="118"/>
      <c r="F24" s="118"/>
      <c r="G24" s="118"/>
      <c r="H24" s="118"/>
      <c r="I24" s="118"/>
      <c r="J24" s="118"/>
      <c r="K24" s="118"/>
      <c r="L24" s="119"/>
      <c r="M24" s="118"/>
      <c r="N24" s="119"/>
      <c r="O24" s="118"/>
      <c r="P24" s="175">
        <f>SUM(P25)</f>
        <v>270000</v>
      </c>
      <c r="Q24" s="184"/>
      <c r="R24" s="184"/>
      <c r="S24" s="143"/>
    </row>
    <row r="25" spans="1:19">
      <c r="A25" s="54"/>
      <c r="B25" s="54"/>
      <c r="C25" s="179" t="s">
        <v>185</v>
      </c>
      <c r="D25" s="118"/>
      <c r="E25" s="118"/>
      <c r="F25" s="118"/>
      <c r="G25" s="118"/>
      <c r="H25" s="118"/>
      <c r="I25" s="123" t="s">
        <v>104</v>
      </c>
      <c r="J25" s="118"/>
      <c r="K25" s="118"/>
      <c r="L25" s="180">
        <v>2</v>
      </c>
      <c r="M25" s="180" t="s">
        <v>186</v>
      </c>
      <c r="N25" s="180">
        <v>9</v>
      </c>
      <c r="O25" s="182">
        <v>15000</v>
      </c>
      <c r="P25" s="183">
        <f>O25*N25*L25</f>
        <v>270000</v>
      </c>
      <c r="Q25" s="176"/>
      <c r="R25" s="176"/>
      <c r="S25" s="185" t="s">
        <v>826</v>
      </c>
    </row>
    <row r="26" spans="1:19">
      <c r="A26" s="54"/>
      <c r="B26" s="54"/>
      <c r="C26" s="177" t="s">
        <v>188</v>
      </c>
      <c r="D26" s="118"/>
      <c r="E26" s="118"/>
      <c r="F26" s="118"/>
      <c r="G26" s="118"/>
      <c r="H26" s="118"/>
      <c r="I26" s="118"/>
      <c r="J26" s="118"/>
      <c r="K26" s="118"/>
      <c r="L26" s="180"/>
      <c r="M26" s="189"/>
      <c r="N26" s="180"/>
      <c r="O26" s="189"/>
      <c r="P26" s="175">
        <f>P27+P31+P32+P36+P40+P47+P53+P54</f>
        <v>3018100</v>
      </c>
      <c r="Q26" s="184"/>
      <c r="R26" s="184"/>
      <c r="S26" s="72" t="s">
        <v>1743</v>
      </c>
    </row>
    <row r="27" spans="1:19">
      <c r="A27" s="54"/>
      <c r="B27" s="54"/>
      <c r="C27" s="177" t="s">
        <v>189</v>
      </c>
      <c r="D27" s="118"/>
      <c r="E27" s="118"/>
      <c r="F27" s="118"/>
      <c r="G27" s="118"/>
      <c r="H27" s="118"/>
      <c r="I27" s="118"/>
      <c r="J27" s="118"/>
      <c r="K27" s="118"/>
      <c r="L27" s="119"/>
      <c r="M27" s="118"/>
      <c r="N27" s="119"/>
      <c r="O27" s="118"/>
      <c r="P27" s="175">
        <f>SUM(P28:P30)</f>
        <v>105000</v>
      </c>
      <c r="Q27" s="176"/>
      <c r="R27" s="176"/>
      <c r="S27" s="72" t="s">
        <v>1744</v>
      </c>
    </row>
    <row r="28" spans="1:19">
      <c r="A28" s="54"/>
      <c r="B28" s="54"/>
      <c r="C28" s="179" t="s">
        <v>190</v>
      </c>
      <c r="D28" s="118"/>
      <c r="E28" s="118"/>
      <c r="F28" s="118"/>
      <c r="G28" s="118"/>
      <c r="H28" s="118"/>
      <c r="I28" s="118"/>
      <c r="J28" s="118"/>
      <c r="K28" s="118"/>
      <c r="L28" s="186">
        <v>150</v>
      </c>
      <c r="M28" s="110"/>
      <c r="N28" s="186">
        <v>1</v>
      </c>
      <c r="O28" s="110">
        <v>500</v>
      </c>
      <c r="P28" s="187">
        <f>L28*N28*O28</f>
        <v>75000</v>
      </c>
      <c r="Q28" s="188"/>
      <c r="R28" s="188"/>
      <c r="S28" s="72" t="s">
        <v>1745</v>
      </c>
    </row>
    <row r="29" spans="1:19">
      <c r="A29" s="54"/>
      <c r="B29" s="54"/>
      <c r="C29" s="179" t="s">
        <v>191</v>
      </c>
      <c r="D29" s="118"/>
      <c r="E29" s="118"/>
      <c r="F29" s="118"/>
      <c r="G29" s="118"/>
      <c r="H29" s="118"/>
      <c r="I29" s="118"/>
      <c r="J29" s="118"/>
      <c r="K29" s="118"/>
      <c r="L29" s="186">
        <v>150</v>
      </c>
      <c r="M29" s="110"/>
      <c r="N29" s="186">
        <v>2</v>
      </c>
      <c r="O29" s="110">
        <v>50</v>
      </c>
      <c r="P29" s="187">
        <f>L29*N29*O29</f>
        <v>15000</v>
      </c>
      <c r="Q29" s="188"/>
      <c r="R29" s="188"/>
      <c r="S29" s="72" t="s">
        <v>1746</v>
      </c>
    </row>
    <row r="30" spans="1:19" s="192" customFormat="1">
      <c r="A30" s="190"/>
      <c r="B30" s="190"/>
      <c r="C30" s="191" t="s">
        <v>192</v>
      </c>
      <c r="D30" s="118"/>
      <c r="E30" s="118"/>
      <c r="F30" s="118"/>
      <c r="G30" s="118"/>
      <c r="H30" s="118"/>
      <c r="I30" s="118"/>
      <c r="J30" s="118"/>
      <c r="K30" s="118"/>
      <c r="L30" s="182">
        <v>150</v>
      </c>
      <c r="M30" s="311"/>
      <c r="N30" s="182">
        <v>1</v>
      </c>
      <c r="O30" s="311">
        <v>100</v>
      </c>
      <c r="P30" s="183">
        <f>L30*N30*O30</f>
        <v>15000</v>
      </c>
      <c r="Q30" s="184"/>
      <c r="R30" s="184"/>
      <c r="S30" s="189" t="s">
        <v>1747</v>
      </c>
    </row>
    <row r="31" spans="1:19" s="192" customFormat="1">
      <c r="A31" s="190"/>
      <c r="B31" s="190"/>
      <c r="C31" s="177" t="s">
        <v>193</v>
      </c>
      <c r="D31" s="118"/>
      <c r="E31" s="118"/>
      <c r="F31" s="118"/>
      <c r="G31" s="118"/>
      <c r="H31" s="118"/>
      <c r="I31" s="118"/>
      <c r="J31" s="118"/>
      <c r="K31" s="118"/>
      <c r="L31" s="182">
        <v>10</v>
      </c>
      <c r="M31" s="311"/>
      <c r="N31" s="182">
        <v>1</v>
      </c>
      <c r="O31" s="311">
        <v>30000</v>
      </c>
      <c r="P31" s="175">
        <f>L31*N31*O31</f>
        <v>300000</v>
      </c>
      <c r="Q31" s="184"/>
      <c r="R31" s="184"/>
      <c r="S31" s="189" t="s">
        <v>1748</v>
      </c>
    </row>
    <row r="32" spans="1:19" ht="21.75" customHeight="1">
      <c r="A32" s="54"/>
      <c r="B32" s="54"/>
      <c r="C32" s="177" t="s">
        <v>194</v>
      </c>
      <c r="D32" s="118"/>
      <c r="E32" s="118"/>
      <c r="F32" s="118"/>
      <c r="G32" s="118"/>
      <c r="H32" s="118"/>
      <c r="I32" s="118"/>
      <c r="J32" s="118"/>
      <c r="K32" s="118"/>
      <c r="L32" s="1450"/>
      <c r="M32" s="1451"/>
      <c r="N32" s="1450"/>
      <c r="O32" s="1451"/>
      <c r="P32" s="175">
        <f>SUM(P33:P35)</f>
        <v>1790400</v>
      </c>
      <c r="Q32" s="176"/>
      <c r="R32" s="175"/>
      <c r="S32" s="945"/>
    </row>
    <row r="33" spans="1:19">
      <c r="A33" s="54"/>
      <c r="B33" s="54"/>
      <c r="C33" s="179" t="s">
        <v>195</v>
      </c>
      <c r="D33" s="72"/>
      <c r="E33" s="72"/>
      <c r="F33" s="72"/>
      <c r="G33" s="118"/>
      <c r="H33" s="118"/>
      <c r="I33" s="118"/>
      <c r="J33" s="118"/>
      <c r="K33" s="118"/>
      <c r="L33" s="186">
        <v>4</v>
      </c>
      <c r="M33" s="110"/>
      <c r="N33" s="186">
        <v>240</v>
      </c>
      <c r="O33" s="110">
        <v>1000</v>
      </c>
      <c r="P33" s="187">
        <f>L33*N33*O33</f>
        <v>960000</v>
      </c>
      <c r="Q33" s="188"/>
      <c r="R33" s="188"/>
      <c r="S33" s="945"/>
    </row>
    <row r="34" spans="1:19" ht="19.5" customHeight="1">
      <c r="A34" s="54"/>
      <c r="B34" s="54"/>
      <c r="C34" s="193" t="s">
        <v>196</v>
      </c>
      <c r="D34" s="72"/>
      <c r="E34" s="72"/>
      <c r="F34" s="72"/>
      <c r="G34" s="118"/>
      <c r="H34" s="118"/>
      <c r="I34" s="118"/>
      <c r="J34" s="118"/>
      <c r="K34" s="118"/>
      <c r="L34" s="186">
        <v>4</v>
      </c>
      <c r="M34" s="110"/>
      <c r="N34" s="186">
        <v>240</v>
      </c>
      <c r="O34" s="110">
        <v>240</v>
      </c>
      <c r="P34" s="187">
        <f>L34*N34*O34</f>
        <v>230400</v>
      </c>
      <c r="Q34" s="188"/>
      <c r="R34" s="188"/>
      <c r="S34" s="945"/>
    </row>
    <row r="35" spans="1:19" ht="21" customHeight="1">
      <c r="A35" s="54"/>
      <c r="B35" s="54"/>
      <c r="C35" s="191" t="s">
        <v>197</v>
      </c>
      <c r="D35" s="189"/>
      <c r="E35" s="189"/>
      <c r="F35" s="118"/>
      <c r="G35" s="118"/>
      <c r="H35" s="118"/>
      <c r="I35" s="118"/>
      <c r="J35" s="118"/>
      <c r="K35" s="118"/>
      <c r="L35" s="182"/>
      <c r="M35" s="311"/>
      <c r="N35" s="182">
        <v>240</v>
      </c>
      <c r="O35" s="311">
        <v>2500</v>
      </c>
      <c r="P35" s="187">
        <f>N35*O35</f>
        <v>600000</v>
      </c>
      <c r="Q35" s="194"/>
      <c r="R35" s="188"/>
      <c r="S35" s="1454"/>
    </row>
    <row r="36" spans="1:19">
      <c r="A36" s="54"/>
      <c r="B36" s="54"/>
      <c r="C36" s="177" t="s">
        <v>198</v>
      </c>
      <c r="D36" s="118"/>
      <c r="E36" s="118"/>
      <c r="F36" s="118"/>
      <c r="G36" s="118"/>
      <c r="H36" s="118"/>
      <c r="I36" s="118"/>
      <c r="J36" s="118"/>
      <c r="K36" s="118"/>
      <c r="L36" s="1450"/>
      <c r="M36" s="1451"/>
      <c r="N36" s="1450"/>
      <c r="O36" s="1451"/>
      <c r="P36" s="175">
        <f>SUM(P37:P39)</f>
        <v>109200</v>
      </c>
      <c r="Q36" s="176"/>
      <c r="R36" s="175"/>
      <c r="S36" s="945"/>
    </row>
    <row r="37" spans="1:19">
      <c r="A37" s="54"/>
      <c r="B37" s="54"/>
      <c r="C37" s="179" t="s">
        <v>199</v>
      </c>
      <c r="D37" s="72"/>
      <c r="E37" s="72"/>
      <c r="F37" s="72"/>
      <c r="G37" s="118"/>
      <c r="H37" s="118"/>
      <c r="I37" s="118"/>
      <c r="J37" s="118"/>
      <c r="K37" s="118"/>
      <c r="L37" s="186">
        <v>4</v>
      </c>
      <c r="M37" s="110"/>
      <c r="N37" s="186">
        <v>10</v>
      </c>
      <c r="O37" s="110">
        <v>1000</v>
      </c>
      <c r="P37" s="187">
        <f>L37*N37*O37</f>
        <v>40000</v>
      </c>
      <c r="Q37" s="188"/>
      <c r="R37" s="188"/>
      <c r="S37" s="945"/>
    </row>
    <row r="38" spans="1:19">
      <c r="A38" s="54"/>
      <c r="B38" s="54"/>
      <c r="C38" s="193" t="s">
        <v>200</v>
      </c>
      <c r="D38" s="72"/>
      <c r="E38" s="72"/>
      <c r="F38" s="72"/>
      <c r="G38" s="118"/>
      <c r="H38" s="118"/>
      <c r="I38" s="118"/>
      <c r="J38" s="118"/>
      <c r="K38" s="118"/>
      <c r="L38" s="186">
        <v>4</v>
      </c>
      <c r="M38" s="110"/>
      <c r="N38" s="186">
        <v>20</v>
      </c>
      <c r="O38" s="110">
        <v>240</v>
      </c>
      <c r="P38" s="187">
        <f>L38*N38*O38</f>
        <v>19200</v>
      </c>
      <c r="Q38" s="188"/>
      <c r="R38" s="188"/>
      <c r="S38" s="72"/>
    </row>
    <row r="39" spans="1:19" ht="20.25" customHeight="1">
      <c r="A39" s="54"/>
      <c r="B39" s="54"/>
      <c r="C39" s="191" t="s">
        <v>201</v>
      </c>
      <c r="D39" s="189"/>
      <c r="E39" s="189"/>
      <c r="F39" s="118"/>
      <c r="G39" s="118"/>
      <c r="H39" s="118"/>
      <c r="I39" s="118"/>
      <c r="J39" s="118"/>
      <c r="K39" s="118"/>
      <c r="L39" s="182"/>
      <c r="M39" s="311"/>
      <c r="N39" s="182">
        <v>20</v>
      </c>
      <c r="O39" s="311">
        <v>2500</v>
      </c>
      <c r="P39" s="187">
        <f>N39*O39</f>
        <v>50000</v>
      </c>
      <c r="Q39" s="194"/>
      <c r="R39" s="188"/>
      <c r="S39" s="72"/>
    </row>
    <row r="40" spans="1:19">
      <c r="A40" s="54"/>
      <c r="B40" s="54"/>
      <c r="C40" s="177" t="s">
        <v>202</v>
      </c>
      <c r="D40" s="118"/>
      <c r="E40" s="118"/>
      <c r="F40" s="118"/>
      <c r="G40" s="118"/>
      <c r="H40" s="118"/>
      <c r="I40" s="118"/>
      <c r="J40" s="118"/>
      <c r="K40" s="118"/>
      <c r="L40" s="1450"/>
      <c r="M40" s="1451"/>
      <c r="N40" s="1450"/>
      <c r="O40" s="1451"/>
      <c r="P40" s="175">
        <f>SUM(P41:P46)</f>
        <v>605000</v>
      </c>
      <c r="Q40" s="176"/>
      <c r="R40" s="176"/>
      <c r="S40" s="72"/>
    </row>
    <row r="41" spans="1:19">
      <c r="A41" s="54"/>
      <c r="B41" s="54"/>
      <c r="C41" s="195" t="s">
        <v>203</v>
      </c>
      <c r="D41" s="118"/>
      <c r="E41" s="118"/>
      <c r="F41" s="118"/>
      <c r="G41" s="118"/>
      <c r="H41" s="118"/>
      <c r="I41" s="118"/>
      <c r="J41" s="118"/>
      <c r="K41" s="118"/>
      <c r="L41" s="186">
        <v>150</v>
      </c>
      <c r="M41" s="110"/>
      <c r="N41" s="186">
        <v>1</v>
      </c>
      <c r="O41" s="110">
        <v>500</v>
      </c>
      <c r="P41" s="187">
        <f t="shared" ref="P41:P46" si="1">L41*N41*O41</f>
        <v>75000</v>
      </c>
      <c r="Q41" s="188"/>
      <c r="R41" s="188"/>
      <c r="S41" s="72"/>
    </row>
    <row r="42" spans="1:19">
      <c r="A42" s="54"/>
      <c r="B42" s="54"/>
      <c r="C42" s="179" t="s">
        <v>204</v>
      </c>
      <c r="D42" s="118"/>
      <c r="E42" s="118"/>
      <c r="F42" s="118"/>
      <c r="G42" s="118"/>
      <c r="H42" s="118"/>
      <c r="I42" s="118"/>
      <c r="J42" s="118"/>
      <c r="K42" s="118"/>
      <c r="L42" s="186">
        <v>150</v>
      </c>
      <c r="M42" s="110"/>
      <c r="N42" s="186">
        <v>2</v>
      </c>
      <c r="O42" s="110">
        <v>50</v>
      </c>
      <c r="P42" s="187">
        <f t="shared" si="1"/>
        <v>15000</v>
      </c>
      <c r="Q42" s="188"/>
      <c r="R42" s="188"/>
      <c r="S42" s="72"/>
    </row>
    <row r="43" spans="1:19" s="192" customFormat="1">
      <c r="A43" s="190"/>
      <c r="B43" s="190"/>
      <c r="C43" s="196" t="s">
        <v>205</v>
      </c>
      <c r="D43" s="118"/>
      <c r="E43" s="118"/>
      <c r="F43" s="118"/>
      <c r="G43" s="118"/>
      <c r="H43" s="118"/>
      <c r="I43" s="118"/>
      <c r="J43" s="118"/>
      <c r="K43" s="118"/>
      <c r="L43" s="182">
        <v>150</v>
      </c>
      <c r="M43" s="311"/>
      <c r="N43" s="182">
        <v>1</v>
      </c>
      <c r="O43" s="311">
        <v>100</v>
      </c>
      <c r="P43" s="187">
        <f t="shared" si="1"/>
        <v>15000</v>
      </c>
      <c r="Q43" s="184"/>
      <c r="R43" s="184"/>
      <c r="S43" s="189"/>
    </row>
    <row r="44" spans="1:19">
      <c r="A44" s="54"/>
      <c r="B44" s="54"/>
      <c r="C44" s="179" t="s">
        <v>206</v>
      </c>
      <c r="D44" s="118"/>
      <c r="E44" s="118"/>
      <c r="F44" s="118"/>
      <c r="G44" s="118"/>
      <c r="H44" s="118"/>
      <c r="I44" s="118"/>
      <c r="J44" s="118"/>
      <c r="K44" s="118"/>
      <c r="L44" s="186">
        <v>85</v>
      </c>
      <c r="M44" s="110"/>
      <c r="N44" s="186">
        <v>1</v>
      </c>
      <c r="O44" s="110">
        <v>2000</v>
      </c>
      <c r="P44" s="187">
        <f t="shared" si="1"/>
        <v>170000</v>
      </c>
      <c r="Q44" s="187"/>
      <c r="R44" s="197"/>
      <c r="S44" s="72"/>
    </row>
    <row r="45" spans="1:19">
      <c r="A45" s="54"/>
      <c r="B45" s="54"/>
      <c r="C45" s="179" t="s">
        <v>207</v>
      </c>
      <c r="D45" s="72"/>
      <c r="E45" s="72"/>
      <c r="F45" s="118"/>
      <c r="G45" s="118"/>
      <c r="H45" s="118"/>
      <c r="I45" s="118"/>
      <c r="J45" s="118"/>
      <c r="K45" s="118"/>
      <c r="L45" s="186">
        <v>150</v>
      </c>
      <c r="M45" s="110"/>
      <c r="N45" s="186">
        <v>1</v>
      </c>
      <c r="O45" s="110">
        <v>1000</v>
      </c>
      <c r="P45" s="187">
        <f t="shared" si="1"/>
        <v>150000</v>
      </c>
      <c r="Q45" s="188"/>
      <c r="R45" s="188"/>
      <c r="S45" s="72"/>
    </row>
    <row r="46" spans="1:19">
      <c r="A46" s="54"/>
      <c r="B46" s="54"/>
      <c r="C46" s="179" t="s">
        <v>208</v>
      </c>
      <c r="D46" s="72"/>
      <c r="E46" s="72"/>
      <c r="F46" s="118"/>
      <c r="G46" s="118"/>
      <c r="H46" s="118"/>
      <c r="I46" s="118"/>
      <c r="J46" s="118"/>
      <c r="K46" s="118"/>
      <c r="L46" s="186">
        <v>150</v>
      </c>
      <c r="M46" s="110"/>
      <c r="N46" s="186">
        <v>1</v>
      </c>
      <c r="O46" s="110">
        <v>1200</v>
      </c>
      <c r="P46" s="187">
        <f t="shared" si="1"/>
        <v>180000</v>
      </c>
      <c r="Q46" s="188"/>
      <c r="R46" s="188"/>
      <c r="S46" s="72"/>
    </row>
    <row r="47" spans="1:19">
      <c r="A47" s="54"/>
      <c r="B47" s="54"/>
      <c r="C47" s="177" t="s">
        <v>209</v>
      </c>
      <c r="D47" s="118"/>
      <c r="E47" s="118"/>
      <c r="F47" s="118"/>
      <c r="G47" s="118"/>
      <c r="H47" s="118"/>
      <c r="I47" s="118"/>
      <c r="J47" s="118"/>
      <c r="K47" s="118"/>
      <c r="L47" s="1450"/>
      <c r="M47" s="1451"/>
      <c r="N47" s="1450"/>
      <c r="O47" s="1451"/>
      <c r="P47" s="175">
        <f>SUM(P48:P52)</f>
        <v>43800</v>
      </c>
      <c r="Q47" s="175"/>
      <c r="R47" s="176"/>
      <c r="S47" s="72"/>
    </row>
    <row r="48" spans="1:19">
      <c r="A48" s="54"/>
      <c r="B48" s="54"/>
      <c r="C48" s="179" t="s">
        <v>210</v>
      </c>
      <c r="D48" s="118"/>
      <c r="E48" s="118"/>
      <c r="F48" s="118"/>
      <c r="G48" s="118"/>
      <c r="H48" s="118"/>
      <c r="I48" s="118"/>
      <c r="J48" s="118"/>
      <c r="K48" s="118"/>
      <c r="L48" s="186">
        <v>9</v>
      </c>
      <c r="M48" s="110"/>
      <c r="N48" s="186">
        <v>1</v>
      </c>
      <c r="O48" s="1452">
        <v>600</v>
      </c>
      <c r="P48" s="187">
        <f>L48*N48*O48</f>
        <v>5400</v>
      </c>
      <c r="Q48" s="188"/>
      <c r="R48" s="188"/>
      <c r="S48" s="72"/>
    </row>
    <row r="49" spans="1:19">
      <c r="A49" s="54"/>
      <c r="B49" s="54"/>
      <c r="C49" s="195" t="s">
        <v>211</v>
      </c>
      <c r="D49" s="118"/>
      <c r="E49" s="118"/>
      <c r="F49" s="118"/>
      <c r="G49" s="118"/>
      <c r="H49" s="118"/>
      <c r="I49" s="118"/>
      <c r="J49" s="118"/>
      <c r="K49" s="118"/>
      <c r="L49" s="186">
        <v>9</v>
      </c>
      <c r="M49" s="110"/>
      <c r="N49" s="186">
        <v>1</v>
      </c>
      <c r="O49" s="1452">
        <v>800</v>
      </c>
      <c r="P49" s="187">
        <f>L49*N49*O49</f>
        <v>7200</v>
      </c>
      <c r="Q49" s="188"/>
      <c r="R49" s="188"/>
      <c r="S49" s="72"/>
    </row>
    <row r="50" spans="1:19">
      <c r="A50" s="54"/>
      <c r="B50" s="54"/>
      <c r="C50" s="195" t="s">
        <v>212</v>
      </c>
      <c r="D50" s="118"/>
      <c r="E50" s="118"/>
      <c r="F50" s="118"/>
      <c r="G50" s="118"/>
      <c r="H50" s="118"/>
      <c r="I50" s="118"/>
      <c r="J50" s="118"/>
      <c r="K50" s="118"/>
      <c r="L50" s="186">
        <v>9</v>
      </c>
      <c r="M50" s="110"/>
      <c r="N50" s="186">
        <v>1</v>
      </c>
      <c r="O50" s="1452">
        <v>800</v>
      </c>
      <c r="P50" s="187">
        <f>L50*N50*O50</f>
        <v>7200</v>
      </c>
      <c r="Q50" s="188"/>
      <c r="R50" s="188"/>
      <c r="S50" s="72"/>
    </row>
    <row r="51" spans="1:19">
      <c r="A51" s="54"/>
      <c r="B51" s="54"/>
      <c r="C51" s="195" t="s">
        <v>213</v>
      </c>
      <c r="D51" s="118"/>
      <c r="E51" s="118"/>
      <c r="F51" s="118"/>
      <c r="G51" s="118"/>
      <c r="H51" s="118"/>
      <c r="I51" s="118"/>
      <c r="J51" s="118"/>
      <c r="K51" s="118"/>
      <c r="L51" s="186">
        <v>9</v>
      </c>
      <c r="M51" s="110"/>
      <c r="N51" s="186">
        <v>1</v>
      </c>
      <c r="O51" s="1452">
        <v>800</v>
      </c>
      <c r="P51" s="187">
        <f>L51*N51*O51</f>
        <v>7200</v>
      </c>
      <c r="Q51" s="188"/>
      <c r="R51" s="188"/>
      <c r="S51" s="72"/>
    </row>
    <row r="52" spans="1:19">
      <c r="A52" s="54"/>
      <c r="B52" s="54"/>
      <c r="C52" s="179" t="s">
        <v>214</v>
      </c>
      <c r="D52" s="72"/>
      <c r="E52" s="72"/>
      <c r="F52" s="118"/>
      <c r="G52" s="118"/>
      <c r="H52" s="118"/>
      <c r="I52" s="118"/>
      <c r="J52" s="118"/>
      <c r="K52" s="118"/>
      <c r="L52" s="186">
        <v>14</v>
      </c>
      <c r="M52" s="110"/>
      <c r="N52" s="186">
        <v>1</v>
      </c>
      <c r="O52" s="1452">
        <v>1200</v>
      </c>
      <c r="P52" s="187">
        <f>L52*N52*O52</f>
        <v>16800</v>
      </c>
      <c r="Q52" s="188"/>
      <c r="R52" s="188"/>
      <c r="S52" s="72"/>
    </row>
    <row r="53" spans="1:19">
      <c r="A53" s="54"/>
      <c r="B53" s="54"/>
      <c r="C53" s="117" t="s">
        <v>215</v>
      </c>
      <c r="D53" s="118"/>
      <c r="E53" s="118"/>
      <c r="F53" s="118"/>
      <c r="G53" s="118"/>
      <c r="H53" s="118"/>
      <c r="I53" s="118"/>
      <c r="J53" s="118"/>
      <c r="K53" s="118"/>
      <c r="L53" s="182" t="s">
        <v>159</v>
      </c>
      <c r="M53" s="311"/>
      <c r="N53" s="182"/>
      <c r="O53" s="1453"/>
      <c r="P53" s="175">
        <v>60000</v>
      </c>
      <c r="Q53" s="176"/>
      <c r="R53" s="176"/>
      <c r="S53" s="72"/>
    </row>
    <row r="54" spans="1:19">
      <c r="A54" s="54"/>
      <c r="B54" s="54"/>
      <c r="C54" s="117" t="s">
        <v>216</v>
      </c>
      <c r="D54" s="118"/>
      <c r="E54" s="118"/>
      <c r="F54" s="118"/>
      <c r="G54" s="118"/>
      <c r="H54" s="118"/>
      <c r="I54" s="118"/>
      <c r="J54" s="118"/>
      <c r="K54" s="118"/>
      <c r="L54" s="1450" t="s">
        <v>159</v>
      </c>
      <c r="M54" s="1451"/>
      <c r="N54" s="1450"/>
      <c r="O54" s="1451"/>
      <c r="P54" s="175">
        <v>4700</v>
      </c>
      <c r="Q54" s="176"/>
      <c r="R54" s="176"/>
      <c r="S54" s="72"/>
    </row>
    <row r="55" spans="1:19">
      <c r="A55" s="54"/>
      <c r="B55" s="54"/>
      <c r="C55" s="177" t="s">
        <v>217</v>
      </c>
      <c r="D55" s="118"/>
      <c r="E55" s="118"/>
      <c r="F55" s="118"/>
      <c r="G55" s="118"/>
      <c r="H55" s="118"/>
      <c r="I55" s="118"/>
      <c r="J55" s="118"/>
      <c r="K55" s="118"/>
      <c r="L55" s="1450"/>
      <c r="M55" s="1451"/>
      <c r="N55" s="1450"/>
      <c r="O55" s="1451"/>
      <c r="P55" s="175">
        <f>SUM(P57:P60)</f>
        <v>361900</v>
      </c>
      <c r="Q55" s="176"/>
      <c r="R55" s="175"/>
      <c r="S55" s="72"/>
    </row>
    <row r="56" spans="1:19">
      <c r="A56" s="54"/>
      <c r="B56" s="54"/>
      <c r="C56" s="179" t="s">
        <v>218</v>
      </c>
      <c r="D56" s="118"/>
      <c r="E56" s="118"/>
      <c r="F56" s="118"/>
      <c r="G56" s="118"/>
      <c r="H56" s="118"/>
      <c r="I56" s="118"/>
      <c r="J56" s="118"/>
      <c r="K56" s="118"/>
      <c r="L56" s="1450"/>
      <c r="M56" s="1451"/>
      <c r="N56" s="1450"/>
      <c r="O56" s="1451"/>
      <c r="P56" s="175"/>
      <c r="Q56" s="176"/>
      <c r="R56" s="175"/>
      <c r="S56" s="72"/>
    </row>
    <row r="57" spans="1:19">
      <c r="A57" s="54"/>
      <c r="B57" s="54"/>
      <c r="C57" s="179" t="s">
        <v>219</v>
      </c>
      <c r="D57" s="72" t="s">
        <v>1736</v>
      </c>
      <c r="E57" s="72"/>
      <c r="F57" s="72"/>
      <c r="G57" s="118"/>
      <c r="H57" s="118"/>
      <c r="I57" s="118"/>
      <c r="J57" s="118"/>
      <c r="K57" s="118"/>
      <c r="L57" s="186">
        <v>3</v>
      </c>
      <c r="M57" s="110"/>
      <c r="N57" s="186">
        <v>35</v>
      </c>
      <c r="O57" s="110">
        <v>800</v>
      </c>
      <c r="P57" s="187">
        <f>L57*N57*O57</f>
        <v>84000</v>
      </c>
      <c r="Q57" s="188"/>
      <c r="R57" s="188"/>
      <c r="S57" s="72"/>
    </row>
    <row r="58" spans="1:19">
      <c r="A58" s="54"/>
      <c r="B58" s="54"/>
      <c r="C58" s="193" t="s">
        <v>220</v>
      </c>
      <c r="D58" s="72"/>
      <c r="E58" s="72"/>
      <c r="F58" s="72"/>
      <c r="G58" s="118"/>
      <c r="H58" s="118"/>
      <c r="I58" s="118"/>
      <c r="J58" s="118"/>
      <c r="K58" s="118"/>
      <c r="L58" s="186">
        <v>3</v>
      </c>
      <c r="M58" s="110"/>
      <c r="N58" s="186">
        <v>70</v>
      </c>
      <c r="O58" s="110">
        <v>240</v>
      </c>
      <c r="P58" s="187">
        <f>L58*N58*O58</f>
        <v>50400</v>
      </c>
      <c r="Q58" s="188"/>
      <c r="R58" s="188"/>
      <c r="S58" s="72"/>
    </row>
    <row r="59" spans="1:19">
      <c r="A59" s="54"/>
      <c r="B59" s="54"/>
      <c r="C59" s="191" t="s">
        <v>221</v>
      </c>
      <c r="D59" s="72"/>
      <c r="E59" s="72"/>
      <c r="F59" s="72"/>
      <c r="G59" s="118"/>
      <c r="H59" s="118"/>
      <c r="I59" s="118"/>
      <c r="J59" s="118"/>
      <c r="K59" s="118"/>
      <c r="L59" s="186"/>
      <c r="M59" s="110"/>
      <c r="N59" s="186">
        <v>70</v>
      </c>
      <c r="O59" s="110">
        <v>2500</v>
      </c>
      <c r="P59" s="187">
        <f>N59*O59</f>
        <v>175000</v>
      </c>
      <c r="Q59" s="188"/>
      <c r="R59" s="188"/>
      <c r="S59" s="72"/>
    </row>
    <row r="60" spans="1:19" ht="15.75" customHeight="1">
      <c r="A60" s="54"/>
      <c r="B60" s="54"/>
      <c r="C60" s="191" t="s">
        <v>222</v>
      </c>
      <c r="D60" s="189"/>
      <c r="E60" s="189"/>
      <c r="F60" s="118"/>
      <c r="G60" s="118"/>
      <c r="H60" s="118"/>
      <c r="I60" s="118"/>
      <c r="J60" s="118"/>
      <c r="K60" s="118"/>
      <c r="L60" s="182">
        <v>3</v>
      </c>
      <c r="M60" s="311"/>
      <c r="N60" s="182">
        <v>35</v>
      </c>
      <c r="O60" s="311">
        <v>500</v>
      </c>
      <c r="P60" s="187">
        <f>N60*O60*L60</f>
        <v>52500</v>
      </c>
      <c r="Q60" s="194"/>
      <c r="R60" s="188"/>
      <c r="S60" s="72"/>
    </row>
    <row r="61" spans="1:19" ht="15.75" customHeight="1">
      <c r="C61" s="1340"/>
      <c r="D61" s="1341"/>
      <c r="E61" s="1341"/>
      <c r="F61" s="1342"/>
      <c r="G61" s="1342"/>
      <c r="H61" s="1342"/>
      <c r="I61" s="1342"/>
      <c r="J61" s="1342"/>
      <c r="K61" s="1342"/>
      <c r="L61" s="1343"/>
      <c r="M61" s="1341"/>
      <c r="N61" s="1343"/>
      <c r="O61" s="1341"/>
      <c r="P61" s="1344"/>
      <c r="Q61" s="1345"/>
      <c r="R61" s="30"/>
      <c r="S61" s="1"/>
    </row>
    <row r="62" spans="1:19" s="726" customFormat="1" ht="24.75" customHeight="1">
      <c r="C62" s="769" t="s">
        <v>171</v>
      </c>
      <c r="D62" s="767" t="s">
        <v>172</v>
      </c>
      <c r="E62" s="767"/>
      <c r="F62" s="767"/>
      <c r="G62" s="766"/>
      <c r="H62" s="766"/>
      <c r="I62" s="766"/>
      <c r="J62" s="766"/>
      <c r="K62" s="766"/>
      <c r="L62" s="766"/>
      <c r="M62" s="766"/>
      <c r="N62" s="766"/>
      <c r="O62" s="766"/>
      <c r="P62" s="230"/>
      <c r="Q62" s="766"/>
      <c r="R62" s="766"/>
      <c r="S62" s="768"/>
    </row>
    <row r="63" spans="1:19" s="726" customFormat="1" ht="24.75" customHeight="1">
      <c r="D63" s="726" t="s">
        <v>466</v>
      </c>
      <c r="P63" s="271"/>
    </row>
  </sheetData>
  <mergeCells count="17">
    <mergeCell ref="L7:L8"/>
    <mergeCell ref="M7:M8"/>
    <mergeCell ref="N7:N8"/>
    <mergeCell ref="O7:O8"/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8"/>
    <mergeCell ref="P7:P8"/>
    <mergeCell ref="H7:H8"/>
    <mergeCell ref="I7:K8"/>
  </mergeCells>
  <pageMargins left="0.51181102362204722" right="0.31496062992125984" top="0.74803149606299213" bottom="0.55118110236220474" header="0.31496062992125984" footer="0.31496062992125984"/>
  <pageSetup paperSize="9" scale="75" orientation="landscape" r:id="rId1"/>
  <headerFooter>
    <oddFooter>&amp;C&amp;P/3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6"/>
  <sheetViews>
    <sheetView zoomScale="90" zoomScaleNormal="90" zoomScaleSheetLayoutView="90" workbookViewId="0">
      <selection activeCell="H50" sqref="H50"/>
    </sheetView>
  </sheetViews>
  <sheetFormatPr defaultColWidth="8.375" defaultRowHeight="21.75"/>
  <cols>
    <col min="1" max="2" width="5.375" style="39" customWidth="1"/>
    <col min="3" max="3" width="36.875" style="82" customWidth="1"/>
    <col min="4" max="4" width="7.625" style="39" customWidth="1"/>
    <col min="5" max="5" width="6.375" style="39" bestFit="1" customWidth="1"/>
    <col min="6" max="6" width="5.875" style="39" bestFit="1" customWidth="1"/>
    <col min="7" max="7" width="6.375" style="39" bestFit="1" customWidth="1"/>
    <col min="8" max="8" width="8.875" style="39" customWidth="1"/>
    <col min="9" max="11" width="4.875" style="39" customWidth="1"/>
    <col min="12" max="12" width="7.625" style="80" customWidth="1"/>
    <col min="13" max="13" width="9.125" style="39" customWidth="1"/>
    <col min="14" max="14" width="8.125" style="80" bestFit="1" customWidth="1"/>
    <col min="15" max="15" width="9.625" style="39" bestFit="1" customWidth="1"/>
    <col min="16" max="16" width="9.875" style="81" customWidth="1"/>
    <col min="17" max="17" width="6.25" style="81" customWidth="1"/>
    <col min="18" max="18" width="8.25" style="81" customWidth="1"/>
    <col min="19" max="19" width="23" style="39" customWidth="1"/>
    <col min="20" max="20" width="12.125" style="39" bestFit="1" customWidth="1"/>
    <col min="21" max="16384" width="8.375" style="39"/>
  </cols>
  <sheetData>
    <row r="1" spans="1:21" ht="25.5">
      <c r="C1" s="1570" t="s">
        <v>84</v>
      </c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</row>
    <row r="2" spans="1:21" ht="25.5">
      <c r="C2" s="1570" t="s">
        <v>173</v>
      </c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</row>
    <row r="3" spans="1:21">
      <c r="A3" s="79" t="s">
        <v>0</v>
      </c>
      <c r="B3" s="79"/>
      <c r="C3" s="79"/>
      <c r="D3" s="40"/>
      <c r="E3" s="40"/>
      <c r="F3" s="40"/>
    </row>
    <row r="4" spans="1:21">
      <c r="A4" s="79" t="s">
        <v>1</v>
      </c>
      <c r="B4" s="79"/>
      <c r="C4" s="79"/>
    </row>
    <row r="5" spans="1:21">
      <c r="S5" s="83" t="s">
        <v>86</v>
      </c>
    </row>
    <row r="6" spans="1:21" s="491" customFormat="1" ht="18.75">
      <c r="A6" s="1623" t="s">
        <v>87</v>
      </c>
      <c r="B6" s="1624"/>
      <c r="C6" s="1629" t="s">
        <v>88</v>
      </c>
      <c r="D6" s="1631" t="s">
        <v>15</v>
      </c>
      <c r="E6" s="1632"/>
      <c r="F6" s="1631" t="s">
        <v>28</v>
      </c>
      <c r="G6" s="1632"/>
      <c r="H6" s="1635" t="s">
        <v>63</v>
      </c>
      <c r="I6" s="1635"/>
      <c r="J6" s="1635"/>
      <c r="K6" s="1635"/>
      <c r="L6" s="1635"/>
      <c r="M6" s="1635"/>
      <c r="N6" s="1635"/>
      <c r="O6" s="1635"/>
      <c r="P6" s="1635"/>
      <c r="Q6" s="1621" t="s">
        <v>89</v>
      </c>
      <c r="R6" s="1621" t="s">
        <v>90</v>
      </c>
      <c r="S6" s="1621" t="s">
        <v>91</v>
      </c>
    </row>
    <row r="7" spans="1:21" s="491" customFormat="1" ht="18.75" customHeight="1">
      <c r="A7" s="1625"/>
      <c r="B7" s="1626"/>
      <c r="C7" s="1630"/>
      <c r="D7" s="1633"/>
      <c r="E7" s="1634"/>
      <c r="F7" s="1633"/>
      <c r="G7" s="1634"/>
      <c r="H7" s="1641" t="s">
        <v>76</v>
      </c>
      <c r="I7" s="1641" t="s">
        <v>77</v>
      </c>
      <c r="J7" s="1641"/>
      <c r="K7" s="1641"/>
      <c r="L7" s="1621" t="s">
        <v>223</v>
      </c>
      <c r="M7" s="1637" t="s">
        <v>92</v>
      </c>
      <c r="N7" s="1621" t="s">
        <v>224</v>
      </c>
      <c r="O7" s="1621" t="s">
        <v>94</v>
      </c>
      <c r="P7" s="1636" t="s">
        <v>10</v>
      </c>
      <c r="Q7" s="1622"/>
      <c r="R7" s="1622"/>
      <c r="S7" s="1622"/>
    </row>
    <row r="8" spans="1:21" s="491" customFormat="1" ht="18.75">
      <c r="A8" s="1627"/>
      <c r="B8" s="1628"/>
      <c r="C8" s="1630"/>
      <c r="D8" s="492" t="s">
        <v>4</v>
      </c>
      <c r="E8" s="492" t="s">
        <v>5</v>
      </c>
      <c r="F8" s="492" t="s">
        <v>4</v>
      </c>
      <c r="G8" s="492" t="s">
        <v>6</v>
      </c>
      <c r="H8" s="1621"/>
      <c r="I8" s="1641"/>
      <c r="J8" s="1641"/>
      <c r="K8" s="1641"/>
      <c r="L8" s="1622"/>
      <c r="M8" s="1638"/>
      <c r="N8" s="1622"/>
      <c r="O8" s="1622"/>
      <c r="P8" s="1636"/>
      <c r="Q8" s="1622"/>
      <c r="R8" s="1622"/>
      <c r="S8" s="1622"/>
    </row>
    <row r="9" spans="1:21" s="491" customFormat="1" ht="18.75">
      <c r="A9" s="493" t="s">
        <v>96</v>
      </c>
      <c r="B9" s="493" t="s">
        <v>97</v>
      </c>
      <c r="C9" s="494"/>
      <c r="D9" s="495"/>
      <c r="E9" s="495"/>
      <c r="F9" s="495"/>
      <c r="G9" s="495"/>
      <c r="H9" s="496"/>
      <c r="I9" s="496" t="s">
        <v>78</v>
      </c>
      <c r="J9" s="496" t="s">
        <v>79</v>
      </c>
      <c r="K9" s="496" t="s">
        <v>80</v>
      </c>
      <c r="L9" s="1640"/>
      <c r="M9" s="1639"/>
      <c r="N9" s="1640"/>
      <c r="O9" s="1640"/>
      <c r="P9" s="497"/>
      <c r="Q9" s="496"/>
      <c r="R9" s="496"/>
      <c r="S9" s="1448"/>
    </row>
    <row r="10" spans="1:21" s="491" customFormat="1" ht="19.5" thickBot="1">
      <c r="A10" s="493"/>
      <c r="B10" s="493"/>
      <c r="C10" s="498" t="s">
        <v>11</v>
      </c>
      <c r="D10" s="499"/>
      <c r="E10" s="499"/>
      <c r="F10" s="499"/>
      <c r="G10" s="499"/>
      <c r="H10" s="500"/>
      <c r="I10" s="500"/>
      <c r="J10" s="500"/>
      <c r="K10" s="500"/>
      <c r="L10" s="500"/>
      <c r="M10" s="500"/>
      <c r="N10" s="500"/>
      <c r="O10" s="500"/>
      <c r="P10" s="501">
        <f>P16+P24</f>
        <v>3000000</v>
      </c>
      <c r="Q10" s="500"/>
      <c r="R10" s="500"/>
      <c r="S10" s="1448"/>
    </row>
    <row r="11" spans="1:21" s="507" customFormat="1" ht="19.5" thickTop="1">
      <c r="A11" s="506"/>
      <c r="B11" s="506"/>
      <c r="C11" s="503" t="s">
        <v>854</v>
      </c>
      <c r="D11" s="504"/>
      <c r="E11" s="504"/>
      <c r="F11" s="504"/>
      <c r="G11" s="502"/>
      <c r="H11" s="502"/>
      <c r="I11" s="502"/>
      <c r="J11" s="502"/>
      <c r="K11" s="502"/>
      <c r="L11" s="504"/>
      <c r="M11" s="502"/>
      <c r="N11" s="504"/>
      <c r="O11" s="502"/>
      <c r="P11" s="505"/>
      <c r="Q11" s="505"/>
      <c r="R11" s="505"/>
      <c r="S11" s="506"/>
    </row>
    <row r="12" spans="1:21" s="515" customFormat="1">
      <c r="A12" s="508"/>
      <c r="B12" s="508"/>
      <c r="C12" s="509" t="s">
        <v>831</v>
      </c>
      <c r="D12" s="510"/>
      <c r="E12" s="510"/>
      <c r="F12" s="510"/>
      <c r="G12" s="510"/>
      <c r="H12" s="510"/>
      <c r="I12" s="510"/>
      <c r="J12" s="510"/>
      <c r="K12" s="510"/>
      <c r="L12" s="511"/>
      <c r="M12" s="512"/>
      <c r="N12" s="511"/>
      <c r="O12" s="512"/>
      <c r="P12" s="513"/>
      <c r="Q12" s="514"/>
      <c r="R12" s="514"/>
      <c r="S12" s="510"/>
    </row>
    <row r="13" spans="1:21" s="515" customFormat="1">
      <c r="A13" s="508"/>
      <c r="B13" s="508"/>
      <c r="C13" s="509" t="s">
        <v>98</v>
      </c>
      <c r="D13" s="510"/>
      <c r="E13" s="510"/>
      <c r="F13" s="510"/>
      <c r="G13" s="510"/>
      <c r="H13" s="510"/>
      <c r="I13" s="510"/>
      <c r="J13" s="510"/>
      <c r="K13" s="510"/>
      <c r="L13" s="511"/>
      <c r="M13" s="512"/>
      <c r="N13" s="511"/>
      <c r="O13" s="512"/>
      <c r="P13" s="513"/>
      <c r="Q13" s="514"/>
      <c r="R13" s="514"/>
      <c r="S13" s="510"/>
    </row>
    <row r="14" spans="1:21" s="515" customFormat="1">
      <c r="A14" s="508"/>
      <c r="B14" s="508"/>
      <c r="C14" s="516" t="s">
        <v>225</v>
      </c>
      <c r="D14" s="517"/>
      <c r="E14" s="517"/>
      <c r="F14" s="518"/>
      <c r="G14" s="519"/>
      <c r="H14" s="519"/>
      <c r="I14" s="519"/>
      <c r="J14" s="519"/>
      <c r="K14" s="519"/>
      <c r="L14" s="520"/>
      <c r="M14" s="521"/>
      <c r="N14" s="520"/>
      <c r="O14" s="521"/>
      <c r="P14" s="522"/>
      <c r="Q14" s="523"/>
      <c r="R14" s="523"/>
      <c r="S14" s="510"/>
    </row>
    <row r="15" spans="1:21" s="515" customFormat="1" ht="24.75" customHeight="1">
      <c r="A15" s="508"/>
      <c r="B15" s="508"/>
      <c r="C15" s="524" t="s">
        <v>832</v>
      </c>
      <c r="D15" s="525"/>
      <c r="E15" s="525"/>
      <c r="F15" s="518"/>
      <c r="G15" s="510"/>
      <c r="H15" s="510"/>
      <c r="I15" s="510"/>
      <c r="J15" s="510"/>
      <c r="K15" s="510"/>
      <c r="L15" s="511"/>
      <c r="M15" s="512"/>
      <c r="N15" s="511"/>
      <c r="O15" s="512"/>
      <c r="P15" s="513"/>
      <c r="Q15" s="514"/>
      <c r="R15" s="514"/>
      <c r="S15" s="510"/>
    </row>
    <row r="16" spans="1:21" s="515" customFormat="1">
      <c r="A16" s="508"/>
      <c r="B16" s="508"/>
      <c r="C16" s="524" t="s">
        <v>12</v>
      </c>
      <c r="D16" s="526"/>
      <c r="E16" s="526"/>
      <c r="F16" s="526"/>
      <c r="G16" s="510"/>
      <c r="H16" s="510"/>
      <c r="I16" s="510"/>
      <c r="J16" s="510"/>
      <c r="K16" s="510"/>
      <c r="L16" s="511"/>
      <c r="M16" s="512"/>
      <c r="N16" s="511"/>
      <c r="O16" s="512"/>
      <c r="P16" s="483">
        <f>P17+P22</f>
        <v>1775000</v>
      </c>
      <c r="Q16" s="514"/>
      <c r="R16" s="514"/>
      <c r="S16" s="1484"/>
    </row>
    <row r="17" spans="1:20" s="515" customFormat="1" ht="21.75" customHeight="1">
      <c r="A17" s="508"/>
      <c r="B17" s="508"/>
      <c r="C17" s="527" t="s">
        <v>101</v>
      </c>
      <c r="D17" s="528"/>
      <c r="E17" s="528"/>
      <c r="F17" s="528"/>
      <c r="G17" s="528"/>
      <c r="H17" s="528"/>
      <c r="I17" s="528"/>
      <c r="J17" s="528"/>
      <c r="K17" s="528"/>
      <c r="L17" s="529"/>
      <c r="M17" s="528"/>
      <c r="N17" s="529"/>
      <c r="O17" s="528"/>
      <c r="P17" s="530">
        <f>SUM(P18:P21)</f>
        <v>1640000</v>
      </c>
      <c r="Q17" s="1458"/>
      <c r="R17" s="1458"/>
      <c r="S17" s="1348" t="s">
        <v>178</v>
      </c>
      <c r="T17" s="531"/>
    </row>
    <row r="18" spans="1:20" s="515" customFormat="1" ht="18.75" customHeight="1">
      <c r="A18" s="508"/>
      <c r="B18" s="508"/>
      <c r="C18" s="532" t="s">
        <v>177</v>
      </c>
      <c r="D18" s="510"/>
      <c r="E18" s="510"/>
      <c r="F18" s="510"/>
      <c r="G18" s="510"/>
      <c r="H18" s="533" t="s">
        <v>103</v>
      </c>
      <c r="I18" s="510"/>
      <c r="J18" s="534" t="s">
        <v>104</v>
      </c>
      <c r="K18" s="510"/>
      <c r="L18" s="533">
        <v>1</v>
      </c>
      <c r="M18" s="533" t="s">
        <v>105</v>
      </c>
      <c r="N18" s="533">
        <v>5</v>
      </c>
      <c r="O18" s="535">
        <v>70000</v>
      </c>
      <c r="P18" s="514">
        <f>O18*N18*L18</f>
        <v>350000</v>
      </c>
      <c r="Q18" s="1459"/>
      <c r="R18" s="1459"/>
      <c r="S18" s="1337" t="s">
        <v>1749</v>
      </c>
      <c r="T18" s="531"/>
    </row>
    <row r="19" spans="1:20" s="515" customFormat="1">
      <c r="A19" s="508"/>
      <c r="B19" s="508"/>
      <c r="C19" s="532" t="s">
        <v>226</v>
      </c>
      <c r="D19" s="510"/>
      <c r="E19" s="510"/>
      <c r="F19" s="510"/>
      <c r="G19" s="510"/>
      <c r="H19" s="533" t="s">
        <v>103</v>
      </c>
      <c r="I19" s="510"/>
      <c r="J19" s="534" t="s">
        <v>104</v>
      </c>
      <c r="K19" s="510"/>
      <c r="L19" s="533">
        <v>1</v>
      </c>
      <c r="M19" s="533" t="s">
        <v>227</v>
      </c>
      <c r="N19" s="533">
        <v>6</v>
      </c>
      <c r="O19" s="535">
        <v>60000</v>
      </c>
      <c r="P19" s="514">
        <f>O19*N19*L19</f>
        <v>360000</v>
      </c>
      <c r="Q19" s="1460"/>
      <c r="R19" s="1460"/>
      <c r="S19" s="1337" t="s">
        <v>1750</v>
      </c>
    </row>
    <row r="20" spans="1:20" s="515" customFormat="1">
      <c r="A20" s="508"/>
      <c r="B20" s="508"/>
      <c r="C20" s="532" t="s">
        <v>228</v>
      </c>
      <c r="D20" s="510"/>
      <c r="E20" s="510"/>
      <c r="F20" s="510"/>
      <c r="G20" s="510"/>
      <c r="H20" s="533" t="s">
        <v>103</v>
      </c>
      <c r="I20" s="510"/>
      <c r="J20" s="534" t="s">
        <v>104</v>
      </c>
      <c r="K20" s="510"/>
      <c r="L20" s="533">
        <v>2</v>
      </c>
      <c r="M20" s="533" t="s">
        <v>229</v>
      </c>
      <c r="N20" s="533">
        <v>7</v>
      </c>
      <c r="O20" s="535">
        <v>45000</v>
      </c>
      <c r="P20" s="514">
        <f>O20*N20*L20</f>
        <v>630000</v>
      </c>
      <c r="Q20" s="1460"/>
      <c r="R20" s="1460"/>
      <c r="S20" s="1337" t="s">
        <v>1751</v>
      </c>
    </row>
    <row r="21" spans="1:20" s="515" customFormat="1" ht="21.75" customHeight="1">
      <c r="A21" s="508"/>
      <c r="B21" s="508"/>
      <c r="C21" s="537" t="s">
        <v>230</v>
      </c>
      <c r="D21" s="510"/>
      <c r="E21" s="510"/>
      <c r="F21" s="510"/>
      <c r="G21" s="510"/>
      <c r="H21" s="533" t="s">
        <v>103</v>
      </c>
      <c r="I21" s="510"/>
      <c r="J21" s="534" t="s">
        <v>104</v>
      </c>
      <c r="K21" s="510"/>
      <c r="L21" s="533">
        <v>1</v>
      </c>
      <c r="M21" s="533" t="s">
        <v>231</v>
      </c>
      <c r="N21" s="533">
        <v>5</v>
      </c>
      <c r="O21" s="535">
        <v>60000</v>
      </c>
      <c r="P21" s="514">
        <f>O21*N21*L21</f>
        <v>300000</v>
      </c>
      <c r="Q21" s="1460"/>
      <c r="R21" s="1460"/>
      <c r="S21" s="1337" t="s">
        <v>1752</v>
      </c>
    </row>
    <row r="22" spans="1:20" s="515" customFormat="1">
      <c r="A22" s="508"/>
      <c r="B22" s="508"/>
      <c r="C22" s="527" t="s">
        <v>112</v>
      </c>
      <c r="D22" s="528"/>
      <c r="E22" s="528"/>
      <c r="F22" s="528"/>
      <c r="G22" s="528"/>
      <c r="H22" s="528"/>
      <c r="I22" s="528"/>
      <c r="J22" s="528"/>
      <c r="K22" s="528"/>
      <c r="L22" s="529"/>
      <c r="M22" s="528"/>
      <c r="N22" s="538"/>
      <c r="O22" s="528"/>
      <c r="P22" s="530">
        <f>SUM(P23:P23)</f>
        <v>135000</v>
      </c>
      <c r="Q22" s="1461"/>
      <c r="R22" s="1461"/>
      <c r="S22" s="1337" t="s">
        <v>1753</v>
      </c>
    </row>
    <row r="23" spans="1:20" s="515" customFormat="1">
      <c r="A23" s="508"/>
      <c r="B23" s="508"/>
      <c r="C23" s="539" t="s">
        <v>232</v>
      </c>
      <c r="D23" s="540"/>
      <c r="E23" s="510"/>
      <c r="F23" s="510"/>
      <c r="G23" s="510"/>
      <c r="H23" s="533" t="s">
        <v>114</v>
      </c>
      <c r="I23" s="534" t="s">
        <v>104</v>
      </c>
      <c r="J23" s="510"/>
      <c r="K23" s="510"/>
      <c r="L23" s="533">
        <v>1</v>
      </c>
      <c r="M23" s="533"/>
      <c r="N23" s="533">
        <v>9</v>
      </c>
      <c r="O23" s="535">
        <v>15000</v>
      </c>
      <c r="P23" s="514">
        <f>O23*N23*L23</f>
        <v>135000</v>
      </c>
      <c r="Q23" s="1462"/>
      <c r="R23" s="1462"/>
      <c r="S23" s="1337" t="s">
        <v>1754</v>
      </c>
    </row>
    <row r="24" spans="1:20" s="515" customFormat="1">
      <c r="A24" s="508"/>
      <c r="B24" s="508"/>
      <c r="C24" s="542" t="s">
        <v>115</v>
      </c>
      <c r="D24" s="528"/>
      <c r="E24" s="528"/>
      <c r="F24" s="528"/>
      <c r="G24" s="528"/>
      <c r="H24" s="528"/>
      <c r="I24" s="528"/>
      <c r="J24" s="528"/>
      <c r="K24" s="528"/>
      <c r="L24" s="529"/>
      <c r="M24" s="528"/>
      <c r="N24" s="529"/>
      <c r="O24" s="528"/>
      <c r="P24" s="1482">
        <f>P25+P30+P36+P42+P48+P49+P50+P51+P52</f>
        <v>1225000</v>
      </c>
      <c r="Q24" s="1461"/>
      <c r="R24" s="1461"/>
      <c r="S24" s="1337" t="s">
        <v>1755</v>
      </c>
    </row>
    <row r="25" spans="1:20" s="515" customFormat="1" ht="21.75" customHeight="1">
      <c r="A25" s="508"/>
      <c r="B25" s="508"/>
      <c r="C25" s="527" t="s">
        <v>233</v>
      </c>
      <c r="D25" s="528"/>
      <c r="E25" s="528"/>
      <c r="F25" s="528"/>
      <c r="G25" s="528"/>
      <c r="H25" s="528"/>
      <c r="I25" s="528"/>
      <c r="J25" s="528"/>
      <c r="K25" s="528"/>
      <c r="L25" s="529"/>
      <c r="M25" s="528"/>
      <c r="N25" s="529"/>
      <c r="O25" s="528"/>
      <c r="P25" s="1481">
        <f>SUM(P26:P29)</f>
        <v>40000</v>
      </c>
      <c r="Q25" s="543"/>
      <c r="R25" s="543"/>
      <c r="S25" s="1337" t="s">
        <v>1756</v>
      </c>
    </row>
    <row r="26" spans="1:20" s="515" customFormat="1" ht="21.75" customHeight="1">
      <c r="A26" s="508"/>
      <c r="B26" s="508"/>
      <c r="C26" s="532" t="s">
        <v>234</v>
      </c>
      <c r="D26" s="510"/>
      <c r="E26" s="510"/>
      <c r="F26" s="510"/>
      <c r="G26" s="510"/>
      <c r="H26" s="510"/>
      <c r="I26" s="510"/>
      <c r="J26" s="510"/>
      <c r="K26" s="510"/>
      <c r="L26" s="533">
        <v>1</v>
      </c>
      <c r="M26" s="510"/>
      <c r="N26" s="533">
        <v>50</v>
      </c>
      <c r="O26" s="514">
        <v>500</v>
      </c>
      <c r="P26" s="1480">
        <f>O26*N26*L26</f>
        <v>25000</v>
      </c>
      <c r="Q26" s="536"/>
      <c r="R26" s="536"/>
      <c r="S26" s="1337" t="s">
        <v>1757</v>
      </c>
    </row>
    <row r="27" spans="1:20" s="515" customFormat="1">
      <c r="A27" s="508"/>
      <c r="B27" s="508"/>
      <c r="C27" s="532" t="s">
        <v>235</v>
      </c>
      <c r="D27" s="510"/>
      <c r="E27" s="510"/>
      <c r="F27" s="510"/>
      <c r="G27" s="510"/>
      <c r="H27" s="510"/>
      <c r="I27" s="510"/>
      <c r="J27" s="510"/>
      <c r="K27" s="510"/>
      <c r="L27" s="533">
        <v>2</v>
      </c>
      <c r="M27" s="510"/>
      <c r="N27" s="533">
        <v>50</v>
      </c>
      <c r="O27" s="514">
        <v>50</v>
      </c>
      <c r="P27" s="1480">
        <f>O27*N27*L27</f>
        <v>5000</v>
      </c>
      <c r="Q27" s="536"/>
      <c r="R27" s="536"/>
      <c r="S27" s="1337" t="s">
        <v>1758</v>
      </c>
    </row>
    <row r="28" spans="1:20" s="515" customFormat="1" ht="21.75" customHeight="1">
      <c r="A28" s="508"/>
      <c r="B28" s="508"/>
      <c r="C28" s="544" t="s">
        <v>236</v>
      </c>
      <c r="D28" s="545"/>
      <c r="E28" s="545"/>
      <c r="F28" s="545"/>
      <c r="G28" s="545"/>
      <c r="H28" s="545"/>
      <c r="I28" s="545"/>
      <c r="J28" s="545"/>
      <c r="K28" s="545"/>
      <c r="L28" s="546"/>
      <c r="M28" s="545"/>
      <c r="N28" s="546">
        <v>50</v>
      </c>
      <c r="O28" s="1456">
        <v>100</v>
      </c>
      <c r="P28" s="1480">
        <f>O28*N28</f>
        <v>5000</v>
      </c>
      <c r="Q28" s="547"/>
      <c r="R28" s="514"/>
      <c r="S28" s="1337"/>
    </row>
    <row r="29" spans="1:20" s="515" customFormat="1">
      <c r="A29" s="508"/>
      <c r="B29" s="508"/>
      <c r="C29" s="548" t="s">
        <v>237</v>
      </c>
      <c r="D29" s="510"/>
      <c r="E29" s="510"/>
      <c r="F29" s="510"/>
      <c r="G29" s="510"/>
      <c r="H29" s="510"/>
      <c r="I29" s="510"/>
      <c r="J29" s="510"/>
      <c r="K29" s="510"/>
      <c r="L29" s="533"/>
      <c r="M29" s="510"/>
      <c r="N29" s="533">
        <v>1</v>
      </c>
      <c r="O29" s="514">
        <v>5000</v>
      </c>
      <c r="P29" s="1480">
        <f>O29*N29</f>
        <v>5000</v>
      </c>
      <c r="Q29" s="549"/>
      <c r="R29" s="514"/>
      <c r="S29" s="1337"/>
    </row>
    <row r="30" spans="1:20" s="515" customFormat="1">
      <c r="A30" s="519"/>
      <c r="B30" s="519"/>
      <c r="C30" s="527" t="s">
        <v>238</v>
      </c>
      <c r="D30" s="528"/>
      <c r="E30" s="528"/>
      <c r="F30" s="528"/>
      <c r="G30" s="528"/>
      <c r="H30" s="528"/>
      <c r="I30" s="528"/>
      <c r="J30" s="528"/>
      <c r="K30" s="528"/>
      <c r="L30" s="529"/>
      <c r="M30" s="528"/>
      <c r="N30" s="529"/>
      <c r="O30" s="550"/>
      <c r="P30" s="1481">
        <f>SUM(P31:P35)</f>
        <v>47200</v>
      </c>
      <c r="Q30" s="551"/>
      <c r="R30" s="543"/>
      <c r="S30" s="1483"/>
    </row>
    <row r="31" spans="1:20" s="515" customFormat="1">
      <c r="A31" s="508"/>
      <c r="B31" s="508"/>
      <c r="C31" s="552" t="s">
        <v>234</v>
      </c>
      <c r="D31" s="510"/>
      <c r="E31" s="510"/>
      <c r="F31" s="510"/>
      <c r="G31" s="510"/>
      <c r="H31" s="510"/>
      <c r="I31" s="510"/>
      <c r="J31" s="510"/>
      <c r="K31" s="510"/>
      <c r="L31" s="1471">
        <v>1</v>
      </c>
      <c r="M31" s="514"/>
      <c r="N31" s="1471">
        <v>50</v>
      </c>
      <c r="O31" s="514">
        <v>500</v>
      </c>
      <c r="P31" s="1480">
        <f>O31*N31*L31</f>
        <v>25000</v>
      </c>
      <c r="Q31" s="547"/>
      <c r="R31" s="536"/>
      <c r="S31" s="1485"/>
    </row>
    <row r="32" spans="1:20" s="515" customFormat="1" ht="21.75" customHeight="1">
      <c r="A32" s="508"/>
      <c r="B32" s="508"/>
      <c r="C32" s="532" t="s">
        <v>235</v>
      </c>
      <c r="D32" s="510"/>
      <c r="E32" s="510"/>
      <c r="F32" s="510"/>
      <c r="G32" s="510"/>
      <c r="H32" s="510"/>
      <c r="I32" s="510"/>
      <c r="J32" s="510"/>
      <c r="K32" s="510"/>
      <c r="L32" s="1471">
        <v>2</v>
      </c>
      <c r="M32" s="514"/>
      <c r="N32" s="1471">
        <v>50</v>
      </c>
      <c r="O32" s="514">
        <v>50</v>
      </c>
      <c r="P32" s="1480">
        <f>O32*N32*L32</f>
        <v>5000</v>
      </c>
      <c r="Q32" s="547"/>
      <c r="R32" s="536"/>
      <c r="S32" s="752"/>
    </row>
    <row r="33" spans="1:19" s="515" customFormat="1">
      <c r="A33" s="508"/>
      <c r="B33" s="508"/>
      <c r="C33" s="554" t="s">
        <v>236</v>
      </c>
      <c r="D33" s="555"/>
      <c r="E33" s="555"/>
      <c r="F33" s="555"/>
      <c r="G33" s="555"/>
      <c r="H33" s="555"/>
      <c r="I33" s="555"/>
      <c r="J33" s="555"/>
      <c r="K33" s="555"/>
      <c r="L33" s="1472"/>
      <c r="M33" s="1456"/>
      <c r="N33" s="1472">
        <v>50</v>
      </c>
      <c r="O33" s="1456">
        <v>100</v>
      </c>
      <c r="P33" s="510">
        <f>O33*N33</f>
        <v>5000</v>
      </c>
      <c r="Q33" s="547"/>
      <c r="R33" s="536"/>
      <c r="S33" s="752"/>
    </row>
    <row r="34" spans="1:19" s="515" customFormat="1">
      <c r="A34" s="519"/>
      <c r="B34" s="519"/>
      <c r="C34" s="532" t="s">
        <v>239</v>
      </c>
      <c r="D34" s="510"/>
      <c r="E34" s="510"/>
      <c r="F34" s="510"/>
      <c r="G34" s="510"/>
      <c r="H34" s="510"/>
      <c r="I34" s="510"/>
      <c r="J34" s="510"/>
      <c r="K34" s="510"/>
      <c r="L34" s="1471">
        <v>2</v>
      </c>
      <c r="M34" s="514"/>
      <c r="N34" s="1471">
        <v>3</v>
      </c>
      <c r="O34" s="514">
        <v>1200</v>
      </c>
      <c r="P34" s="1480">
        <f>O34*N34*L34</f>
        <v>7200</v>
      </c>
      <c r="Q34" s="547"/>
      <c r="R34" s="536"/>
      <c r="S34" s="752"/>
    </row>
    <row r="35" spans="1:19" s="515" customFormat="1">
      <c r="A35" s="508"/>
      <c r="B35" s="508"/>
      <c r="C35" s="1338" t="s">
        <v>240</v>
      </c>
      <c r="D35" s="519"/>
      <c r="E35" s="519"/>
      <c r="F35" s="519"/>
      <c r="G35" s="519"/>
      <c r="H35" s="519"/>
      <c r="I35" s="519"/>
      <c r="J35" s="519"/>
      <c r="K35" s="519"/>
      <c r="L35" s="1473"/>
      <c r="M35" s="523"/>
      <c r="N35" s="1473">
        <v>1</v>
      </c>
      <c r="O35" s="523">
        <v>5000</v>
      </c>
      <c r="P35" s="510">
        <f>O35*N35</f>
        <v>5000</v>
      </c>
      <c r="Q35" s="1339"/>
      <c r="R35" s="541"/>
      <c r="S35" s="1485" t="s">
        <v>826</v>
      </c>
    </row>
    <row r="36" spans="1:19" s="515" customFormat="1">
      <c r="A36" s="508"/>
      <c r="B36" s="508"/>
      <c r="C36" s="527" t="s">
        <v>241</v>
      </c>
      <c r="D36" s="528"/>
      <c r="E36" s="528"/>
      <c r="F36" s="528"/>
      <c r="G36" s="528"/>
      <c r="H36" s="528"/>
      <c r="I36" s="528"/>
      <c r="J36" s="528"/>
      <c r="K36" s="528"/>
      <c r="L36" s="529"/>
      <c r="M36" s="528"/>
      <c r="N36" s="529"/>
      <c r="O36" s="550"/>
      <c r="P36" s="1481">
        <f>SUM(P37:P41)</f>
        <v>26200</v>
      </c>
      <c r="Q36" s="547"/>
      <c r="R36" s="536"/>
      <c r="S36" s="752" t="s">
        <v>1759</v>
      </c>
    </row>
    <row r="37" spans="1:19" s="515" customFormat="1">
      <c r="A37" s="508"/>
      <c r="B37" s="508"/>
      <c r="C37" s="552" t="s">
        <v>242</v>
      </c>
      <c r="D37" s="510"/>
      <c r="E37" s="510"/>
      <c r="F37" s="510"/>
      <c r="G37" s="510"/>
      <c r="H37" s="510"/>
      <c r="I37" s="510"/>
      <c r="J37" s="510"/>
      <c r="K37" s="510"/>
      <c r="L37" s="1471">
        <v>1</v>
      </c>
      <c r="M37" s="514"/>
      <c r="N37" s="1471">
        <v>20</v>
      </c>
      <c r="O37" s="514">
        <v>500</v>
      </c>
      <c r="P37" s="1480">
        <f>O37*N37*L37</f>
        <v>10000</v>
      </c>
      <c r="Q37" s="547"/>
      <c r="R37" s="536"/>
      <c r="S37" s="752" t="s">
        <v>1760</v>
      </c>
    </row>
    <row r="38" spans="1:19" s="515" customFormat="1" ht="43.5">
      <c r="A38" s="508"/>
      <c r="B38" s="508"/>
      <c r="C38" s="553" t="s">
        <v>1766</v>
      </c>
      <c r="D38" s="510"/>
      <c r="E38" s="510"/>
      <c r="F38" s="510"/>
      <c r="G38" s="510"/>
      <c r="H38" s="510"/>
      <c r="I38" s="510"/>
      <c r="J38" s="510"/>
      <c r="K38" s="510"/>
      <c r="L38" s="1471">
        <v>2</v>
      </c>
      <c r="M38" s="514"/>
      <c r="N38" s="1471">
        <v>20</v>
      </c>
      <c r="O38" s="514">
        <v>50</v>
      </c>
      <c r="P38" s="1480">
        <f>O38*N38*L38</f>
        <v>2000</v>
      </c>
      <c r="Q38" s="547"/>
      <c r="R38" s="536"/>
      <c r="S38" s="752" t="s">
        <v>1761</v>
      </c>
    </row>
    <row r="39" spans="1:19" s="515" customFormat="1" ht="19.5" customHeight="1">
      <c r="A39" s="508"/>
      <c r="B39" s="508"/>
      <c r="C39" s="554" t="s">
        <v>243</v>
      </c>
      <c r="D39" s="555"/>
      <c r="E39" s="555"/>
      <c r="F39" s="555"/>
      <c r="G39" s="555"/>
      <c r="H39" s="555"/>
      <c r="I39" s="555"/>
      <c r="J39" s="555"/>
      <c r="K39" s="555"/>
      <c r="L39" s="1474"/>
      <c r="M39" s="1475"/>
      <c r="N39" s="1474">
        <v>20</v>
      </c>
      <c r="O39" s="1475">
        <v>100</v>
      </c>
      <c r="P39" s="510">
        <f>O39*N39</f>
        <v>2000</v>
      </c>
      <c r="Q39" s="547"/>
      <c r="R39" s="536"/>
      <c r="S39" s="1483" t="s">
        <v>1762</v>
      </c>
    </row>
    <row r="40" spans="1:19" s="515" customFormat="1">
      <c r="A40" s="508"/>
      <c r="B40" s="508"/>
      <c r="C40" s="532" t="s">
        <v>239</v>
      </c>
      <c r="D40" s="510"/>
      <c r="E40" s="510"/>
      <c r="F40" s="510"/>
      <c r="G40" s="510"/>
      <c r="H40" s="510"/>
      <c r="I40" s="510"/>
      <c r="J40" s="510"/>
      <c r="K40" s="510"/>
      <c r="L40" s="1471">
        <v>2</v>
      </c>
      <c r="M40" s="514"/>
      <c r="N40" s="1471">
        <v>3</v>
      </c>
      <c r="O40" s="514">
        <v>1200</v>
      </c>
      <c r="P40" s="1480">
        <f>O40*N40*L40</f>
        <v>7200</v>
      </c>
      <c r="Q40" s="547"/>
      <c r="R40" s="536"/>
      <c r="S40" s="556" t="s">
        <v>1763</v>
      </c>
    </row>
    <row r="41" spans="1:19" s="515" customFormat="1">
      <c r="A41" s="508"/>
      <c r="B41" s="508"/>
      <c r="C41" s="553" t="s">
        <v>240</v>
      </c>
      <c r="D41" s="510"/>
      <c r="E41" s="510"/>
      <c r="F41" s="510"/>
      <c r="G41" s="510"/>
      <c r="H41" s="510"/>
      <c r="I41" s="510"/>
      <c r="J41" s="510"/>
      <c r="K41" s="510"/>
      <c r="L41" s="1471"/>
      <c r="M41" s="514"/>
      <c r="N41" s="1471">
        <v>1</v>
      </c>
      <c r="O41" s="514">
        <v>5000</v>
      </c>
      <c r="P41" s="510">
        <f>O41*N41</f>
        <v>5000</v>
      </c>
      <c r="Q41" s="547"/>
      <c r="R41" s="536"/>
      <c r="S41" s="556" t="s">
        <v>1765</v>
      </c>
    </row>
    <row r="42" spans="1:19" s="515" customFormat="1">
      <c r="A42" s="508"/>
      <c r="B42" s="508"/>
      <c r="C42" s="527" t="s">
        <v>244</v>
      </c>
      <c r="D42" s="528"/>
      <c r="E42" s="528"/>
      <c r="F42" s="528"/>
      <c r="G42" s="528"/>
      <c r="H42" s="528"/>
      <c r="I42" s="528"/>
      <c r="J42" s="528"/>
      <c r="K42" s="528"/>
      <c r="L42" s="529"/>
      <c r="M42" s="528"/>
      <c r="N42" s="529"/>
      <c r="O42" s="550"/>
      <c r="P42" s="1478">
        <f>SUM(P43:P47)</f>
        <v>42900</v>
      </c>
      <c r="Q42" s="543"/>
      <c r="R42" s="513"/>
      <c r="S42" s="510" t="s">
        <v>1764</v>
      </c>
    </row>
    <row r="43" spans="1:19" s="515" customFormat="1">
      <c r="A43" s="508"/>
      <c r="B43" s="508"/>
      <c r="C43" s="553" t="s">
        <v>245</v>
      </c>
      <c r="D43" s="510"/>
      <c r="E43" s="510"/>
      <c r="F43" s="510"/>
      <c r="G43" s="510"/>
      <c r="H43" s="510"/>
      <c r="I43" s="510"/>
      <c r="J43" s="510"/>
      <c r="K43" s="510"/>
      <c r="L43" s="533"/>
      <c r="M43" s="510"/>
      <c r="N43" s="1471">
        <v>9</v>
      </c>
      <c r="O43" s="514">
        <v>500</v>
      </c>
      <c r="P43" s="514">
        <f>O43*N43</f>
        <v>4500</v>
      </c>
      <c r="Q43" s="536"/>
      <c r="R43" s="536"/>
      <c r="S43" s="510"/>
    </row>
    <row r="44" spans="1:19" s="515" customFormat="1" ht="19.5" customHeight="1">
      <c r="A44" s="508"/>
      <c r="B44" s="508"/>
      <c r="C44" s="553" t="s">
        <v>211</v>
      </c>
      <c r="D44" s="510"/>
      <c r="E44" s="510"/>
      <c r="F44" s="510"/>
      <c r="G44" s="510"/>
      <c r="H44" s="510"/>
      <c r="I44" s="510"/>
      <c r="J44" s="510"/>
      <c r="K44" s="510"/>
      <c r="L44" s="533"/>
      <c r="M44" s="510"/>
      <c r="N44" s="1471">
        <v>9</v>
      </c>
      <c r="O44" s="514">
        <v>800</v>
      </c>
      <c r="P44" s="514">
        <f t="shared" ref="P44:P47" si="0">O44*N44</f>
        <v>7200</v>
      </c>
      <c r="Q44" s="536"/>
      <c r="R44" s="536"/>
      <c r="S44" s="510"/>
    </row>
    <row r="45" spans="1:19" s="515" customFormat="1" ht="19.5" customHeight="1">
      <c r="A45" s="508"/>
      <c r="B45" s="508"/>
      <c r="C45" s="553" t="s">
        <v>246</v>
      </c>
      <c r="D45" s="510"/>
      <c r="E45" s="510"/>
      <c r="F45" s="510"/>
      <c r="G45" s="510"/>
      <c r="H45" s="510"/>
      <c r="I45" s="510"/>
      <c r="J45" s="510"/>
      <c r="K45" s="510"/>
      <c r="L45" s="533"/>
      <c r="M45" s="510"/>
      <c r="N45" s="1471">
        <v>9</v>
      </c>
      <c r="O45" s="514">
        <v>800</v>
      </c>
      <c r="P45" s="514">
        <f t="shared" si="0"/>
        <v>7200</v>
      </c>
      <c r="Q45" s="536"/>
      <c r="R45" s="536"/>
      <c r="S45" s="510"/>
    </row>
    <row r="46" spans="1:19" s="515" customFormat="1" ht="19.5" customHeight="1">
      <c r="A46" s="508"/>
      <c r="B46" s="508"/>
      <c r="C46" s="553" t="s">
        <v>247</v>
      </c>
      <c r="D46" s="510"/>
      <c r="E46" s="510"/>
      <c r="F46" s="510"/>
      <c r="G46" s="510"/>
      <c r="H46" s="510"/>
      <c r="I46" s="510"/>
      <c r="J46" s="510"/>
      <c r="K46" s="510"/>
      <c r="L46" s="533"/>
      <c r="M46" s="510"/>
      <c r="N46" s="1471">
        <v>9</v>
      </c>
      <c r="O46" s="514">
        <v>800</v>
      </c>
      <c r="P46" s="514">
        <f t="shared" si="0"/>
        <v>7200</v>
      </c>
      <c r="Q46" s="536"/>
      <c r="R46" s="536"/>
      <c r="S46" s="510"/>
    </row>
    <row r="47" spans="1:19" s="515" customFormat="1">
      <c r="A47" s="508"/>
      <c r="B47" s="508"/>
      <c r="C47" s="532" t="s">
        <v>248</v>
      </c>
      <c r="D47" s="510"/>
      <c r="E47" s="510"/>
      <c r="F47" s="510"/>
      <c r="G47" s="510"/>
      <c r="H47" s="510"/>
      <c r="I47" s="510"/>
      <c r="J47" s="510"/>
      <c r="K47" s="510"/>
      <c r="L47" s="533"/>
      <c r="M47" s="510"/>
      <c r="N47" s="1471">
        <v>14</v>
      </c>
      <c r="O47" s="514">
        <v>1200</v>
      </c>
      <c r="P47" s="514">
        <f t="shared" si="0"/>
        <v>16800</v>
      </c>
      <c r="Q47" s="536"/>
      <c r="R47" s="536"/>
      <c r="S47" s="510"/>
    </row>
    <row r="48" spans="1:19" s="515" customFormat="1">
      <c r="A48" s="508"/>
      <c r="B48" s="508"/>
      <c r="C48" s="1463" t="s">
        <v>249</v>
      </c>
      <c r="D48" s="1464"/>
      <c r="E48" s="1464"/>
      <c r="F48" s="1464"/>
      <c r="G48" s="1464"/>
      <c r="H48" s="1464"/>
      <c r="I48" s="1464"/>
      <c r="J48" s="1464"/>
      <c r="K48" s="1464"/>
      <c r="L48" s="1465"/>
      <c r="M48" s="1464"/>
      <c r="N48" s="1465">
        <v>1</v>
      </c>
      <c r="O48" s="1476">
        <v>110000</v>
      </c>
      <c r="P48" s="1478">
        <f>O48*N48</f>
        <v>110000</v>
      </c>
      <c r="Q48" s="543"/>
      <c r="R48" s="543"/>
      <c r="S48" s="510"/>
    </row>
    <row r="49" spans="1:19" s="515" customFormat="1">
      <c r="A49" s="508"/>
      <c r="B49" s="508"/>
      <c r="C49" s="1466" t="s">
        <v>250</v>
      </c>
      <c r="D49" s="1464"/>
      <c r="E49" s="1464"/>
      <c r="F49" s="1464"/>
      <c r="G49" s="1464"/>
      <c r="H49" s="1464"/>
      <c r="I49" s="1464"/>
      <c r="J49" s="1464"/>
      <c r="K49" s="1464"/>
      <c r="L49" s="1465"/>
      <c r="M49" s="1464"/>
      <c r="N49" s="1465">
        <v>1</v>
      </c>
      <c r="O49" s="1477">
        <v>45000</v>
      </c>
      <c r="P49" s="1478">
        <f>O49*N49</f>
        <v>45000</v>
      </c>
      <c r="Q49" s="543"/>
      <c r="R49" s="543"/>
      <c r="S49" s="510"/>
    </row>
    <row r="50" spans="1:19" s="515" customFormat="1">
      <c r="A50" s="508"/>
      <c r="B50" s="508"/>
      <c r="C50" s="1467" t="s">
        <v>251</v>
      </c>
      <c r="D50" s="1464"/>
      <c r="E50" s="1464"/>
      <c r="F50" s="1464"/>
      <c r="G50" s="1464"/>
      <c r="H50" s="1464"/>
      <c r="I50" s="1464"/>
      <c r="J50" s="1464"/>
      <c r="K50" s="1464"/>
      <c r="L50" s="1465"/>
      <c r="M50" s="1464"/>
      <c r="N50" s="1465"/>
      <c r="O50" s="1464"/>
      <c r="P50" s="1479">
        <v>200000</v>
      </c>
      <c r="Q50" s="543"/>
      <c r="R50" s="543"/>
      <c r="S50" s="510"/>
    </row>
    <row r="51" spans="1:19" s="515" customFormat="1">
      <c r="A51" s="508"/>
      <c r="B51" s="508"/>
      <c r="C51" s="1467" t="s">
        <v>252</v>
      </c>
      <c r="D51" s="1464"/>
      <c r="E51" s="1464"/>
      <c r="F51" s="1464"/>
      <c r="G51" s="1464"/>
      <c r="H51" s="1464"/>
      <c r="I51" s="1464"/>
      <c r="J51" s="1464"/>
      <c r="K51" s="1464"/>
      <c r="L51" s="1465"/>
      <c r="M51" s="1464"/>
      <c r="N51" s="1465"/>
      <c r="O51" s="1464"/>
      <c r="P51" s="1479">
        <v>710000</v>
      </c>
      <c r="Q51" s="557"/>
      <c r="R51" s="557"/>
      <c r="S51" s="510"/>
    </row>
    <row r="52" spans="1:19" s="515" customFormat="1">
      <c r="A52" s="519"/>
      <c r="B52" s="519"/>
      <c r="C52" s="1468" t="s">
        <v>253</v>
      </c>
      <c r="D52" s="1457"/>
      <c r="E52" s="1457"/>
      <c r="F52" s="1457"/>
      <c r="G52" s="1457"/>
      <c r="H52" s="1457"/>
      <c r="I52" s="1457"/>
      <c r="J52" s="1457"/>
      <c r="K52" s="1457"/>
      <c r="L52" s="1469"/>
      <c r="M52" s="1457"/>
      <c r="N52" s="1469"/>
      <c r="O52" s="1470"/>
      <c r="P52" s="1479">
        <v>3700</v>
      </c>
      <c r="Q52" s="536"/>
      <c r="R52" s="536"/>
      <c r="S52" s="510"/>
    </row>
    <row r="53" spans="1:19" s="515" customFormat="1">
      <c r="C53" s="558"/>
      <c r="D53" s="559"/>
      <c r="E53" s="560"/>
      <c r="F53" s="560"/>
      <c r="L53" s="561"/>
      <c r="N53" s="561"/>
      <c r="P53" s="562"/>
      <c r="Q53" s="562"/>
      <c r="R53" s="562"/>
    </row>
    <row r="54" spans="1:19" s="726" customFormat="1" ht="24.75" customHeight="1">
      <c r="C54" s="1346" t="s">
        <v>171</v>
      </c>
      <c r="D54" s="767" t="s">
        <v>172</v>
      </c>
      <c r="E54" s="767"/>
      <c r="F54" s="767"/>
      <c r="G54" s="766"/>
      <c r="H54" s="766"/>
      <c r="I54" s="766"/>
      <c r="J54" s="766"/>
      <c r="K54" s="766"/>
      <c r="L54" s="766"/>
      <c r="M54" s="766"/>
      <c r="N54" s="766"/>
      <c r="O54" s="766"/>
      <c r="P54" s="772"/>
      <c r="Q54" s="766"/>
      <c r="R54" s="766"/>
      <c r="S54" s="768"/>
    </row>
    <row r="55" spans="1:19" s="726" customFormat="1" ht="24.75" customHeight="1">
      <c r="D55" s="726" t="s">
        <v>466</v>
      </c>
      <c r="P55" s="712"/>
    </row>
    <row r="56" spans="1:19" s="515" customFormat="1">
      <c r="C56" s="563"/>
      <c r="L56" s="561"/>
      <c r="N56" s="561"/>
      <c r="P56" s="562"/>
      <c r="Q56" s="562"/>
      <c r="R56" s="562"/>
    </row>
  </sheetData>
  <mergeCells count="17">
    <mergeCell ref="A6:B8"/>
    <mergeCell ref="C6:C8"/>
    <mergeCell ref="D6:E7"/>
    <mergeCell ref="F6:G7"/>
    <mergeCell ref="H6:P6"/>
    <mergeCell ref="P7:P8"/>
    <mergeCell ref="M7:M9"/>
    <mergeCell ref="L7:L9"/>
    <mergeCell ref="N7:N9"/>
    <mergeCell ref="O7:O9"/>
    <mergeCell ref="H7:H8"/>
    <mergeCell ref="I7:K8"/>
    <mergeCell ref="C1:U1"/>
    <mergeCell ref="C2:U2"/>
    <mergeCell ref="Q6:Q8"/>
    <mergeCell ref="R6:R8"/>
    <mergeCell ref="S6:S8"/>
  </mergeCells>
  <pageMargins left="0.31496062992125984" right="0.11811023622047245" top="0.74803149606299213" bottom="0.55118110236220474" header="0.31496062992125984" footer="0.31496062992125984"/>
  <pageSetup paperSize="9" scale="75" orientation="landscape" r:id="rId1"/>
  <headerFooter>
    <oddFooter>&amp;C&amp;P/2</odd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4"/>
  <sheetViews>
    <sheetView zoomScale="80" zoomScaleNormal="80" zoomScaleSheetLayoutView="80" zoomScalePageLayoutView="80" workbookViewId="0">
      <selection activeCell="C27" sqref="C27"/>
    </sheetView>
  </sheetViews>
  <sheetFormatPr defaultColWidth="8.25" defaultRowHeight="21.75"/>
  <cols>
    <col min="1" max="2" width="5.375" style="39" customWidth="1"/>
    <col min="3" max="3" width="41" style="82" customWidth="1"/>
    <col min="4" max="7" width="7.125" style="39" customWidth="1"/>
    <col min="8" max="8" width="8.25" style="39"/>
    <col min="9" max="9" width="5.25" style="39" customWidth="1"/>
    <col min="10" max="10" width="5.75" style="39" customWidth="1"/>
    <col min="11" max="11" width="6.25" style="39" customWidth="1"/>
    <col min="12" max="12" width="8" style="80" customWidth="1"/>
    <col min="13" max="13" width="10" style="39" customWidth="1"/>
    <col min="14" max="14" width="7.75" style="80" customWidth="1"/>
    <col min="15" max="15" width="9" style="206" customWidth="1"/>
    <col min="16" max="16" width="10.25" style="81" customWidth="1"/>
    <col min="17" max="17" width="6.625" style="247" customWidth="1"/>
    <col min="18" max="18" width="7.25" style="247" customWidth="1"/>
    <col min="19" max="19" width="24.125" style="39" customWidth="1"/>
    <col min="20" max="20" width="8.25" style="39"/>
    <col min="21" max="21" width="11.5" style="39" customWidth="1"/>
    <col min="22" max="16384" width="8.25" style="39"/>
  </cols>
  <sheetData>
    <row r="1" spans="1:20" ht="25.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"/>
    </row>
    <row r="2" spans="1:20" ht="25.5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"/>
    </row>
    <row r="3" spans="1:20">
      <c r="A3" s="79" t="s">
        <v>0</v>
      </c>
      <c r="B3" s="79"/>
      <c r="C3" s="207"/>
      <c r="D3" s="40"/>
      <c r="E3" s="40"/>
      <c r="F3" s="40"/>
      <c r="Q3" s="250"/>
      <c r="R3" s="250"/>
    </row>
    <row r="4" spans="1:20">
      <c r="A4" s="79" t="s">
        <v>1</v>
      </c>
      <c r="B4" s="79"/>
      <c r="C4" s="207"/>
      <c r="Q4" s="250"/>
      <c r="R4" s="250"/>
    </row>
    <row r="5" spans="1:20">
      <c r="S5" s="158" t="s">
        <v>1727</v>
      </c>
    </row>
    <row r="6" spans="1:20" s="84" customFormat="1" ht="18.75">
      <c r="A6" s="1587" t="s">
        <v>87</v>
      </c>
      <c r="B6" s="1605"/>
      <c r="C6" s="1658" t="s">
        <v>88</v>
      </c>
      <c r="D6" s="1660" t="s">
        <v>15</v>
      </c>
      <c r="E6" s="1661"/>
      <c r="F6" s="1660" t="s">
        <v>28</v>
      </c>
      <c r="G6" s="1661"/>
      <c r="H6" s="1664" t="s">
        <v>63</v>
      </c>
      <c r="I6" s="1665"/>
      <c r="J6" s="1665"/>
      <c r="K6" s="1665"/>
      <c r="L6" s="1665"/>
      <c r="M6" s="1665"/>
      <c r="N6" s="1665"/>
      <c r="O6" s="1665"/>
      <c r="P6" s="1666"/>
      <c r="Q6" s="1649" t="s">
        <v>89</v>
      </c>
      <c r="R6" s="1649" t="s">
        <v>90</v>
      </c>
      <c r="S6" s="1667" t="s">
        <v>91</v>
      </c>
    </row>
    <row r="7" spans="1:20" s="84" customFormat="1" ht="18" customHeight="1">
      <c r="A7" s="1606"/>
      <c r="B7" s="1607"/>
      <c r="C7" s="1659"/>
      <c r="D7" s="1662"/>
      <c r="E7" s="1663"/>
      <c r="F7" s="1662"/>
      <c r="G7" s="1663"/>
      <c r="H7" s="1668" t="s">
        <v>76</v>
      </c>
      <c r="I7" s="1642" t="s">
        <v>77</v>
      </c>
      <c r="J7" s="1643"/>
      <c r="K7" s="1644"/>
      <c r="L7" s="1645" t="s">
        <v>175</v>
      </c>
      <c r="M7" s="1653" t="s">
        <v>92</v>
      </c>
      <c r="N7" s="1653" t="s">
        <v>93</v>
      </c>
      <c r="O7" s="1654" t="s">
        <v>94</v>
      </c>
      <c r="P7" s="1655"/>
      <c r="Q7" s="1650"/>
      <c r="R7" s="1650"/>
      <c r="S7" s="1653"/>
    </row>
    <row r="8" spans="1:20" s="84" customFormat="1" ht="18.75">
      <c r="A8" s="1608"/>
      <c r="B8" s="1609"/>
      <c r="C8" s="1659"/>
      <c r="D8" s="208" t="s">
        <v>4</v>
      </c>
      <c r="E8" s="208" t="s">
        <v>5</v>
      </c>
      <c r="F8" s="208" t="s">
        <v>4</v>
      </c>
      <c r="G8" s="208" t="s">
        <v>6</v>
      </c>
      <c r="H8" s="1669"/>
      <c r="I8" s="1656" t="s">
        <v>78</v>
      </c>
      <c r="J8" s="1656" t="s">
        <v>79</v>
      </c>
      <c r="K8" s="1656" t="s">
        <v>80</v>
      </c>
      <c r="L8" s="1645" t="s">
        <v>95</v>
      </c>
      <c r="M8" s="1653"/>
      <c r="N8" s="1653"/>
      <c r="O8" s="1654"/>
      <c r="P8" s="1655"/>
      <c r="Q8" s="1650"/>
      <c r="R8" s="1650"/>
      <c r="S8" s="1653"/>
    </row>
    <row r="9" spans="1:20" s="84" customFormat="1" ht="18.75">
      <c r="A9" s="86" t="s">
        <v>96</v>
      </c>
      <c r="B9" s="86" t="s">
        <v>97</v>
      </c>
      <c r="C9" s="1659"/>
      <c r="D9" s="208"/>
      <c r="E9" s="208"/>
      <c r="F9" s="208"/>
      <c r="G9" s="208"/>
      <c r="H9" s="1669"/>
      <c r="I9" s="1657"/>
      <c r="J9" s="1657"/>
      <c r="K9" s="1657"/>
      <c r="L9" s="1645" t="s">
        <v>255</v>
      </c>
      <c r="M9" s="1653"/>
      <c r="N9" s="1653"/>
      <c r="O9" s="1654"/>
      <c r="P9" s="1655"/>
      <c r="Q9" s="257"/>
      <c r="R9" s="257"/>
      <c r="S9" s="1653"/>
    </row>
    <row r="10" spans="1:20" s="105" customFormat="1" ht="19.5" thickBot="1">
      <c r="A10" s="93"/>
      <c r="B10" s="93"/>
      <c r="C10" s="209" t="s">
        <v>11</v>
      </c>
      <c r="D10" s="210"/>
      <c r="E10" s="210"/>
      <c r="F10" s="210"/>
      <c r="G10" s="211"/>
      <c r="H10" s="211"/>
      <c r="I10" s="211"/>
      <c r="J10" s="211"/>
      <c r="K10" s="211"/>
      <c r="L10" s="210"/>
      <c r="M10" s="211"/>
      <c r="N10" s="210"/>
      <c r="O10" s="212"/>
      <c r="P10" s="213">
        <f>P15</f>
        <v>8500000</v>
      </c>
      <c r="Q10" s="263"/>
      <c r="R10" s="263"/>
      <c r="S10" s="211"/>
    </row>
    <row r="11" spans="1:20" s="105" customFormat="1" ht="19.5" thickTop="1">
      <c r="A11" s="477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479"/>
      <c r="Q11" s="479"/>
      <c r="R11" s="479"/>
      <c r="S11" s="479"/>
    </row>
    <row r="12" spans="1:20">
      <c r="A12" s="198"/>
      <c r="B12" s="198"/>
      <c r="C12" s="480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483"/>
      <c r="Q12" s="215"/>
      <c r="R12" s="215"/>
      <c r="S12" s="215"/>
    </row>
    <row r="13" spans="1:20">
      <c r="A13" s="198"/>
      <c r="B13" s="198"/>
      <c r="C13" s="480" t="s">
        <v>98</v>
      </c>
      <c r="D13" s="54"/>
      <c r="E13" s="54"/>
      <c r="F13" s="54"/>
      <c r="G13" s="54"/>
      <c r="H13" s="54"/>
      <c r="I13" s="54"/>
      <c r="J13" s="54"/>
      <c r="K13" s="54"/>
      <c r="L13" s="481"/>
      <c r="M13" s="482"/>
      <c r="N13" s="481"/>
      <c r="O13" s="482"/>
      <c r="P13" s="483"/>
      <c r="Q13" s="571"/>
      <c r="R13" s="574"/>
      <c r="S13" s="215"/>
    </row>
    <row r="14" spans="1:20">
      <c r="A14" s="198"/>
      <c r="B14" s="198"/>
      <c r="C14" s="484" t="s">
        <v>834</v>
      </c>
      <c r="D14" s="485"/>
      <c r="E14" s="485"/>
      <c r="F14" s="486"/>
      <c r="G14" s="203"/>
      <c r="H14" s="203"/>
      <c r="I14" s="203"/>
      <c r="J14" s="203"/>
      <c r="K14" s="203"/>
      <c r="L14" s="487"/>
      <c r="M14" s="488"/>
      <c r="N14" s="487"/>
      <c r="O14" s="488"/>
      <c r="P14" s="489"/>
      <c r="Q14" s="577"/>
      <c r="R14" s="571"/>
      <c r="S14" s="490"/>
    </row>
    <row r="15" spans="1:20">
      <c r="A15" s="468"/>
      <c r="B15" s="468"/>
      <c r="C15" s="476" t="s">
        <v>833</v>
      </c>
      <c r="D15" s="471"/>
      <c r="E15" s="471"/>
      <c r="F15" s="471"/>
      <c r="G15" s="472"/>
      <c r="H15" s="472"/>
      <c r="I15" s="472"/>
      <c r="J15" s="472"/>
      <c r="K15" s="472"/>
      <c r="L15" s="473"/>
      <c r="M15" s="472"/>
      <c r="N15" s="473"/>
      <c r="O15" s="474"/>
      <c r="P15" s="475">
        <f>P17+P24+P24+P27+P32+P36+P40+P46+P52+P55+P74</f>
        <v>8500000</v>
      </c>
      <c r="Q15" s="579"/>
      <c r="R15" s="579"/>
      <c r="S15" s="469" t="s">
        <v>178</v>
      </c>
    </row>
    <row r="16" spans="1:20" ht="21.75" customHeight="1">
      <c r="A16" s="468"/>
      <c r="B16" s="468"/>
      <c r="C16" s="470" t="s">
        <v>12</v>
      </c>
      <c r="D16" s="471"/>
      <c r="E16" s="471"/>
      <c r="F16" s="471"/>
      <c r="G16" s="472"/>
      <c r="H16" s="472"/>
      <c r="I16" s="472"/>
      <c r="J16" s="472"/>
      <c r="K16" s="472"/>
      <c r="L16" s="473"/>
      <c r="M16" s="472"/>
      <c r="N16" s="473"/>
      <c r="O16" s="474"/>
      <c r="P16" s="564"/>
      <c r="Q16" s="579"/>
      <c r="R16" s="579"/>
      <c r="S16" s="1651" t="s">
        <v>836</v>
      </c>
    </row>
    <row r="17" spans="1:19">
      <c r="A17" s="468"/>
      <c r="B17" s="468"/>
      <c r="C17" s="1486" t="s">
        <v>101</v>
      </c>
      <c r="D17" s="1487"/>
      <c r="E17" s="1487"/>
      <c r="F17" s="1487"/>
      <c r="G17" s="1487"/>
      <c r="H17" s="1487"/>
      <c r="I17" s="1487"/>
      <c r="J17" s="1487"/>
      <c r="K17" s="1487"/>
      <c r="L17" s="1488"/>
      <c r="M17" s="1487"/>
      <c r="N17" s="1488"/>
      <c r="O17" s="1489"/>
      <c r="P17" s="1490">
        <f>P18+P19+P20+P21+P22+P23</f>
        <v>3972000</v>
      </c>
      <c r="Q17" s="588"/>
      <c r="R17" s="588"/>
      <c r="S17" s="1652"/>
    </row>
    <row r="18" spans="1:19" ht="25.5" customHeight="1">
      <c r="A18" s="198"/>
      <c r="B18" s="198"/>
      <c r="C18" s="216" t="s">
        <v>257</v>
      </c>
      <c r="D18" s="54"/>
      <c r="E18" s="54"/>
      <c r="F18" s="54"/>
      <c r="G18" s="54"/>
      <c r="H18" s="63" t="s">
        <v>830</v>
      </c>
      <c r="I18" s="54"/>
      <c r="J18" s="217" t="s">
        <v>104</v>
      </c>
      <c r="K18" s="54"/>
      <c r="L18" s="63">
        <v>1</v>
      </c>
      <c r="M18" s="63" t="s">
        <v>258</v>
      </c>
      <c r="N18" s="218">
        <v>5</v>
      </c>
      <c r="O18" s="219">
        <v>72000</v>
      </c>
      <c r="P18" s="565">
        <f t="shared" ref="P18:P23" si="0">L18*N18*O18</f>
        <v>360000</v>
      </c>
      <c r="Q18" s="597"/>
      <c r="R18" s="597"/>
      <c r="S18" s="1652"/>
    </row>
    <row r="19" spans="1:19" ht="21.75" customHeight="1">
      <c r="A19" s="198"/>
      <c r="B19" s="198"/>
      <c r="C19" s="216" t="s">
        <v>259</v>
      </c>
      <c r="D19" s="54"/>
      <c r="E19" s="54"/>
      <c r="F19" s="54"/>
      <c r="G19" s="54"/>
      <c r="H19" s="63" t="s">
        <v>830</v>
      </c>
      <c r="I19" s="54"/>
      <c r="J19" s="217" t="s">
        <v>104</v>
      </c>
      <c r="K19" s="54"/>
      <c r="L19" s="63">
        <v>2</v>
      </c>
      <c r="M19" s="63" t="s">
        <v>260</v>
      </c>
      <c r="N19" s="218">
        <v>6</v>
      </c>
      <c r="O19" s="219">
        <v>50000</v>
      </c>
      <c r="P19" s="565">
        <f t="shared" si="0"/>
        <v>600000</v>
      </c>
      <c r="Q19" s="597"/>
      <c r="R19" s="597"/>
      <c r="S19" s="1647" t="s">
        <v>837</v>
      </c>
    </row>
    <row r="20" spans="1:19" ht="29.25" customHeight="1">
      <c r="A20" s="198"/>
      <c r="B20" s="198"/>
      <c r="C20" s="216" t="s">
        <v>261</v>
      </c>
      <c r="D20" s="54"/>
      <c r="E20" s="54"/>
      <c r="F20" s="54"/>
      <c r="G20" s="54"/>
      <c r="H20" s="63" t="s">
        <v>830</v>
      </c>
      <c r="I20" s="54"/>
      <c r="J20" s="217" t="s">
        <v>104</v>
      </c>
      <c r="K20" s="54"/>
      <c r="L20" s="63">
        <v>2</v>
      </c>
      <c r="M20" s="63" t="s">
        <v>260</v>
      </c>
      <c r="N20" s="218">
        <v>5</v>
      </c>
      <c r="O20" s="219">
        <v>50000</v>
      </c>
      <c r="P20" s="565">
        <f t="shared" si="0"/>
        <v>500000</v>
      </c>
      <c r="Q20" s="597"/>
      <c r="R20" s="597"/>
      <c r="S20" s="1647"/>
    </row>
    <row r="21" spans="1:19" ht="25.5" customHeight="1">
      <c r="A21" s="198"/>
      <c r="B21" s="198"/>
      <c r="C21" s="220" t="s">
        <v>835</v>
      </c>
      <c r="D21" s="54"/>
      <c r="E21" s="54"/>
      <c r="F21" s="54"/>
      <c r="G21" s="54"/>
      <c r="H21" s="63" t="s">
        <v>830</v>
      </c>
      <c r="I21" s="54"/>
      <c r="J21" s="217" t="s">
        <v>104</v>
      </c>
      <c r="K21" s="54"/>
      <c r="L21" s="63">
        <v>2</v>
      </c>
      <c r="M21" s="63" t="s">
        <v>260</v>
      </c>
      <c r="N21" s="218">
        <v>5</v>
      </c>
      <c r="O21" s="219">
        <v>50000</v>
      </c>
      <c r="P21" s="565">
        <f t="shared" si="0"/>
        <v>500000</v>
      </c>
      <c r="Q21" s="597"/>
      <c r="R21" s="597"/>
      <c r="S21" s="1647"/>
    </row>
    <row r="22" spans="1:19">
      <c r="A22" s="198"/>
      <c r="B22" s="198"/>
      <c r="C22" s="216" t="s">
        <v>262</v>
      </c>
      <c r="D22" s="54"/>
      <c r="E22" s="54"/>
      <c r="F22" s="54"/>
      <c r="G22" s="54"/>
      <c r="H22" s="63" t="s">
        <v>830</v>
      </c>
      <c r="I22" s="54"/>
      <c r="J22" s="217" t="s">
        <v>104</v>
      </c>
      <c r="K22" s="54"/>
      <c r="L22" s="63">
        <v>2</v>
      </c>
      <c r="M22" s="63" t="s">
        <v>260</v>
      </c>
      <c r="N22" s="218">
        <v>5</v>
      </c>
      <c r="O22" s="219">
        <v>50000</v>
      </c>
      <c r="P22" s="565">
        <f t="shared" si="0"/>
        <v>500000</v>
      </c>
      <c r="Q22" s="597"/>
      <c r="R22" s="597"/>
      <c r="S22" s="1647" t="s">
        <v>838</v>
      </c>
    </row>
    <row r="23" spans="1:19" ht="23.25" customHeight="1">
      <c r="A23" s="198"/>
      <c r="B23" s="198"/>
      <c r="C23" s="216" t="s">
        <v>263</v>
      </c>
      <c r="D23" s="54"/>
      <c r="E23" s="54"/>
      <c r="F23" s="54"/>
      <c r="G23" s="54"/>
      <c r="H23" s="63" t="s">
        <v>830</v>
      </c>
      <c r="I23" s="217" t="s">
        <v>104</v>
      </c>
      <c r="J23" s="54"/>
      <c r="K23" s="54"/>
      <c r="L23" s="63">
        <v>12</v>
      </c>
      <c r="M23" s="63" t="s">
        <v>264</v>
      </c>
      <c r="N23" s="218">
        <v>7</v>
      </c>
      <c r="O23" s="219">
        <v>18000</v>
      </c>
      <c r="P23" s="565">
        <f t="shared" si="0"/>
        <v>1512000</v>
      </c>
      <c r="Q23" s="597"/>
      <c r="R23" s="597"/>
      <c r="S23" s="1647"/>
    </row>
    <row r="24" spans="1:19" ht="23.25" customHeight="1">
      <c r="A24" s="198"/>
      <c r="B24" s="198"/>
      <c r="C24" s="1486" t="s">
        <v>112</v>
      </c>
      <c r="D24" s="1487"/>
      <c r="E24" s="1487"/>
      <c r="F24" s="1487"/>
      <c r="G24" s="1487"/>
      <c r="H24" s="1487"/>
      <c r="I24" s="1487"/>
      <c r="J24" s="1487"/>
      <c r="K24" s="1487"/>
      <c r="L24" s="1488"/>
      <c r="M24" s="1487"/>
      <c r="N24" s="1491"/>
      <c r="O24" s="1489"/>
      <c r="P24" s="1490">
        <f>P25</f>
        <v>135000</v>
      </c>
      <c r="Q24" s="602"/>
      <c r="R24" s="602"/>
      <c r="S24" s="1647"/>
    </row>
    <row r="25" spans="1:19">
      <c r="A25" s="198"/>
      <c r="B25" s="198"/>
      <c r="C25" s="221" t="s">
        <v>232</v>
      </c>
      <c r="D25" s="222"/>
      <c r="E25" s="54"/>
      <c r="F25" s="54"/>
      <c r="G25" s="54"/>
      <c r="H25" s="54"/>
      <c r="I25" s="217" t="s">
        <v>104</v>
      </c>
      <c r="J25" s="54"/>
      <c r="K25" s="54"/>
      <c r="L25" s="63">
        <v>1</v>
      </c>
      <c r="M25" s="63" t="s">
        <v>265</v>
      </c>
      <c r="N25" s="63">
        <v>9</v>
      </c>
      <c r="O25" s="219">
        <v>15000</v>
      </c>
      <c r="P25" s="565">
        <f>L25*N25*O25</f>
        <v>135000</v>
      </c>
      <c r="Q25" s="597"/>
      <c r="R25" s="597"/>
      <c r="S25" s="1647"/>
    </row>
    <row r="26" spans="1:19" ht="18.75" customHeight="1">
      <c r="A26" s="198"/>
      <c r="B26" s="198"/>
      <c r="C26" s="223" t="s">
        <v>115</v>
      </c>
      <c r="D26" s="54"/>
      <c r="E26" s="54"/>
      <c r="F26" s="54"/>
      <c r="G26" s="54"/>
      <c r="H26" s="54"/>
      <c r="I26" s="54"/>
      <c r="J26" s="54"/>
      <c r="K26" s="54"/>
      <c r="L26" s="63"/>
      <c r="M26" s="54"/>
      <c r="N26" s="63"/>
      <c r="O26" s="214"/>
      <c r="P26" s="565"/>
      <c r="Q26" s="611"/>
      <c r="R26" s="611"/>
      <c r="S26" s="1647" t="s">
        <v>839</v>
      </c>
    </row>
    <row r="27" spans="1:19" ht="27.75" customHeight="1">
      <c r="A27" s="198"/>
      <c r="B27" s="198"/>
      <c r="C27" s="1492" t="s">
        <v>266</v>
      </c>
      <c r="D27" s="1487"/>
      <c r="E27" s="1487"/>
      <c r="F27" s="1487"/>
      <c r="G27" s="1487"/>
      <c r="H27" s="1487"/>
      <c r="I27" s="1487"/>
      <c r="J27" s="1487"/>
      <c r="K27" s="1487"/>
      <c r="L27" s="1488"/>
      <c r="M27" s="1487"/>
      <c r="N27" s="1488"/>
      <c r="O27" s="1489"/>
      <c r="P27" s="1493">
        <f>P28+P29+P30+P31</f>
        <v>115000</v>
      </c>
      <c r="Q27" s="616"/>
      <c r="R27" s="617"/>
      <c r="S27" s="1647"/>
    </row>
    <row r="28" spans="1:19">
      <c r="A28" s="198"/>
      <c r="B28" s="198"/>
      <c r="C28" s="216" t="s">
        <v>190</v>
      </c>
      <c r="D28" s="54"/>
      <c r="E28" s="54"/>
      <c r="F28" s="54"/>
      <c r="G28" s="54"/>
      <c r="H28" s="54"/>
      <c r="I28" s="54"/>
      <c r="J28" s="54"/>
      <c r="K28" s="54"/>
      <c r="L28" s="63">
        <v>150</v>
      </c>
      <c r="M28" s="54"/>
      <c r="N28" s="63">
        <v>1</v>
      </c>
      <c r="O28" s="214">
        <v>500</v>
      </c>
      <c r="P28" s="215">
        <f>L28*N28*O28</f>
        <v>75000</v>
      </c>
      <c r="Q28" s="622"/>
      <c r="R28" s="622"/>
      <c r="S28" s="1647"/>
    </row>
    <row r="29" spans="1:19">
      <c r="A29" s="198"/>
      <c r="B29" s="198"/>
      <c r="C29" s="216" t="s">
        <v>191</v>
      </c>
      <c r="D29" s="54"/>
      <c r="E29" s="54"/>
      <c r="F29" s="54"/>
      <c r="G29" s="54"/>
      <c r="H29" s="54"/>
      <c r="I29" s="54"/>
      <c r="J29" s="54"/>
      <c r="K29" s="54"/>
      <c r="L29" s="63">
        <v>150</v>
      </c>
      <c r="M29" s="54"/>
      <c r="N29" s="63">
        <v>2</v>
      </c>
      <c r="O29" s="214">
        <v>50</v>
      </c>
      <c r="P29" s="215">
        <f>L29*N29*O29</f>
        <v>15000</v>
      </c>
      <c r="Q29" s="624"/>
      <c r="R29" s="624"/>
      <c r="S29" s="1648"/>
    </row>
    <row r="30" spans="1:19">
      <c r="A30" s="198"/>
      <c r="B30" s="198"/>
      <c r="C30" s="216" t="s">
        <v>192</v>
      </c>
      <c r="D30" s="54"/>
      <c r="E30" s="54"/>
      <c r="F30" s="54"/>
      <c r="G30" s="54"/>
      <c r="H30" s="54"/>
      <c r="I30" s="54"/>
      <c r="J30" s="54"/>
      <c r="K30" s="54"/>
      <c r="L30" s="63">
        <v>150</v>
      </c>
      <c r="M30" s="54"/>
      <c r="N30" s="63">
        <v>1</v>
      </c>
      <c r="O30" s="214">
        <v>100</v>
      </c>
      <c r="P30" s="215">
        <f>L30*N30*O30</f>
        <v>15000</v>
      </c>
      <c r="Q30" s="624"/>
      <c r="R30" s="624"/>
      <c r="S30" s="54"/>
    </row>
    <row r="31" spans="1:19">
      <c r="A31" s="198"/>
      <c r="B31" s="198"/>
      <c r="C31" s="216" t="s">
        <v>267</v>
      </c>
      <c r="D31" s="54"/>
      <c r="E31" s="54"/>
      <c r="F31" s="54"/>
      <c r="G31" s="54"/>
      <c r="H31" s="54"/>
      <c r="I31" s="54"/>
      <c r="J31" s="54"/>
      <c r="K31" s="54"/>
      <c r="L31" s="63"/>
      <c r="M31" s="54"/>
      <c r="N31" s="63"/>
      <c r="O31" s="214">
        <v>10000</v>
      </c>
      <c r="P31" s="215">
        <f>O31</f>
        <v>10000</v>
      </c>
      <c r="Q31" s="626"/>
      <c r="R31" s="626"/>
      <c r="S31" s="54"/>
    </row>
    <row r="32" spans="1:19" ht="40.5">
      <c r="A32" s="198"/>
      <c r="B32" s="198"/>
      <c r="C32" s="1492" t="s">
        <v>268</v>
      </c>
      <c r="D32" s="1487"/>
      <c r="E32" s="1487"/>
      <c r="F32" s="1487"/>
      <c r="G32" s="1487"/>
      <c r="H32" s="1487"/>
      <c r="I32" s="1487"/>
      <c r="J32" s="1487"/>
      <c r="K32" s="1487"/>
      <c r="L32" s="1488"/>
      <c r="M32" s="1487"/>
      <c r="N32" s="1488"/>
      <c r="O32" s="1489"/>
      <c r="P32" s="1494">
        <f>P33+P34+P35</f>
        <v>1866000</v>
      </c>
      <c r="Q32" s="624"/>
      <c r="R32" s="624"/>
      <c r="S32" s="54"/>
    </row>
    <row r="33" spans="1:19" ht="43.5">
      <c r="A33" s="198"/>
      <c r="B33" s="198"/>
      <c r="C33" s="224" t="s">
        <v>269</v>
      </c>
      <c r="D33" s="54"/>
      <c r="E33" s="54"/>
      <c r="F33" s="54"/>
      <c r="G33" s="54"/>
      <c r="H33" s="54"/>
      <c r="I33" s="54"/>
      <c r="J33" s="54"/>
      <c r="K33" s="54">
        <v>2</v>
      </c>
      <c r="L33" s="63">
        <v>3</v>
      </c>
      <c r="M33" s="54">
        <v>50</v>
      </c>
      <c r="N33" s="63">
        <v>3</v>
      </c>
      <c r="O33" s="214">
        <v>1000</v>
      </c>
      <c r="P33" s="215">
        <f>O33*N33*M33*L33*K33</f>
        <v>900000</v>
      </c>
      <c r="Q33" s="631"/>
      <c r="R33" s="631"/>
      <c r="S33" s="54"/>
    </row>
    <row r="34" spans="1:19" ht="43.5">
      <c r="A34" s="198"/>
      <c r="B34" s="198"/>
      <c r="C34" s="225" t="s">
        <v>270</v>
      </c>
      <c r="D34" s="54"/>
      <c r="E34" s="54"/>
      <c r="F34" s="54"/>
      <c r="G34" s="54"/>
      <c r="H34" s="54"/>
      <c r="I34" s="54"/>
      <c r="J34" s="54"/>
      <c r="K34" s="54">
        <v>2</v>
      </c>
      <c r="L34" s="63">
        <v>3</v>
      </c>
      <c r="M34" s="54">
        <v>50</v>
      </c>
      <c r="N34" s="63">
        <v>3</v>
      </c>
      <c r="O34" s="214">
        <v>240</v>
      </c>
      <c r="P34" s="215">
        <f>O34*N34*M34*L34*K34</f>
        <v>216000</v>
      </c>
      <c r="Q34" s="631"/>
      <c r="R34" s="631"/>
      <c r="S34" s="469" t="s">
        <v>826</v>
      </c>
    </row>
    <row r="35" spans="1:19" ht="44.25" customHeight="1">
      <c r="A35" s="198"/>
      <c r="B35" s="198"/>
      <c r="C35" s="224" t="s">
        <v>271</v>
      </c>
      <c r="D35" s="54"/>
      <c r="E35" s="54"/>
      <c r="F35" s="54"/>
      <c r="G35" s="54"/>
      <c r="H35" s="54"/>
      <c r="I35" s="54"/>
      <c r="J35" s="54"/>
      <c r="K35" s="54">
        <v>2</v>
      </c>
      <c r="L35" s="63">
        <v>3</v>
      </c>
      <c r="M35" s="54">
        <v>50</v>
      </c>
      <c r="N35" s="63"/>
      <c r="O35" s="214">
        <v>2500</v>
      </c>
      <c r="P35" s="215">
        <f>O35*M35*L35*K35</f>
        <v>750000</v>
      </c>
      <c r="Q35" s="631"/>
      <c r="R35" s="631"/>
      <c r="S35" s="1646" t="s">
        <v>256</v>
      </c>
    </row>
    <row r="36" spans="1:19" ht="40.5">
      <c r="A36" s="198"/>
      <c r="B36" s="198"/>
      <c r="C36" s="1492" t="s">
        <v>272</v>
      </c>
      <c r="D36" s="1487"/>
      <c r="E36" s="1487"/>
      <c r="F36" s="1487"/>
      <c r="G36" s="1487"/>
      <c r="H36" s="1487"/>
      <c r="I36" s="1487"/>
      <c r="J36" s="1487"/>
      <c r="K36" s="1487"/>
      <c r="L36" s="1488"/>
      <c r="M36" s="1487"/>
      <c r="N36" s="1488"/>
      <c r="O36" s="1489"/>
      <c r="P36" s="1494">
        <f>P37+P38+P39</f>
        <v>49000</v>
      </c>
      <c r="Q36" s="637"/>
      <c r="R36" s="637"/>
      <c r="S36" s="1647"/>
    </row>
    <row r="37" spans="1:19">
      <c r="A37" s="198"/>
      <c r="B37" s="198"/>
      <c r="C37" s="216" t="s">
        <v>273</v>
      </c>
      <c r="D37" s="54"/>
      <c r="E37" s="54"/>
      <c r="F37" s="54"/>
      <c r="G37" s="54"/>
      <c r="H37" s="54"/>
      <c r="I37" s="54"/>
      <c r="J37" s="54"/>
      <c r="K37" s="54"/>
      <c r="L37" s="63">
        <v>70</v>
      </c>
      <c r="M37" s="54"/>
      <c r="N37" s="63">
        <v>1</v>
      </c>
      <c r="O37" s="214">
        <v>500</v>
      </c>
      <c r="P37" s="215">
        <f>L37*N37*O37</f>
        <v>35000</v>
      </c>
      <c r="Q37" s="624"/>
      <c r="R37" s="624"/>
      <c r="S37" s="1647"/>
    </row>
    <row r="38" spans="1:19">
      <c r="A38" s="198"/>
      <c r="B38" s="198"/>
      <c r="C38" s="216" t="s">
        <v>274</v>
      </c>
      <c r="D38" s="54"/>
      <c r="E38" s="54"/>
      <c r="F38" s="54"/>
      <c r="G38" s="54"/>
      <c r="H38" s="54"/>
      <c r="I38" s="54"/>
      <c r="J38" s="54"/>
      <c r="K38" s="54"/>
      <c r="L38" s="63">
        <v>70</v>
      </c>
      <c r="M38" s="54"/>
      <c r="N38" s="63">
        <v>2</v>
      </c>
      <c r="O38" s="214">
        <v>50</v>
      </c>
      <c r="P38" s="215">
        <f>L38*N38*O38</f>
        <v>7000</v>
      </c>
      <c r="Q38" s="624"/>
      <c r="R38" s="624"/>
      <c r="S38" s="1648"/>
    </row>
    <row r="39" spans="1:19">
      <c r="A39" s="198"/>
      <c r="B39" s="198"/>
      <c r="C39" s="216" t="s">
        <v>275</v>
      </c>
      <c r="D39" s="54"/>
      <c r="E39" s="54"/>
      <c r="F39" s="54"/>
      <c r="G39" s="54"/>
      <c r="H39" s="54"/>
      <c r="I39" s="54"/>
      <c r="J39" s="54"/>
      <c r="K39" s="54"/>
      <c r="L39" s="63">
        <v>70</v>
      </c>
      <c r="M39" s="54"/>
      <c r="N39" s="63">
        <v>1</v>
      </c>
      <c r="O39" s="214">
        <v>100</v>
      </c>
      <c r="P39" s="215">
        <f>L39*N39*O39</f>
        <v>7000</v>
      </c>
      <c r="Q39" s="622"/>
      <c r="R39" s="622"/>
      <c r="S39" s="54" t="s">
        <v>278</v>
      </c>
    </row>
    <row r="40" spans="1:19">
      <c r="A40" s="198"/>
      <c r="B40" s="198"/>
      <c r="C40" s="1486" t="s">
        <v>276</v>
      </c>
      <c r="D40" s="1487"/>
      <c r="E40" s="1487"/>
      <c r="F40" s="1487"/>
      <c r="G40" s="1487"/>
      <c r="H40" s="1487"/>
      <c r="I40" s="1487"/>
      <c r="J40" s="1487"/>
      <c r="K40" s="1487"/>
      <c r="L40" s="1488"/>
      <c r="M40" s="1487"/>
      <c r="N40" s="1488"/>
      <c r="O40" s="1489"/>
      <c r="P40" s="1494">
        <f>P41+P42+P43+P44+P45</f>
        <v>405000</v>
      </c>
      <c r="Q40" s="637"/>
      <c r="R40" s="637"/>
      <c r="S40" s="54"/>
    </row>
    <row r="41" spans="1:19">
      <c r="A41" s="198"/>
      <c r="B41" s="198"/>
      <c r="C41" s="224" t="s">
        <v>203</v>
      </c>
      <c r="D41" s="54"/>
      <c r="E41" s="54"/>
      <c r="F41" s="54"/>
      <c r="G41" s="54"/>
      <c r="H41" s="54"/>
      <c r="I41" s="54"/>
      <c r="J41" s="54"/>
      <c r="K41" s="54"/>
      <c r="L41" s="63">
        <v>150</v>
      </c>
      <c r="M41" s="54"/>
      <c r="N41" s="63">
        <v>1</v>
      </c>
      <c r="O41" s="214">
        <v>500</v>
      </c>
      <c r="P41" s="215">
        <f>L41*N41*O41</f>
        <v>75000</v>
      </c>
      <c r="Q41" s="624"/>
      <c r="R41" s="624"/>
      <c r="S41" s="54"/>
    </row>
    <row r="42" spans="1:19" ht="43.5">
      <c r="A42" s="198"/>
      <c r="B42" s="198"/>
      <c r="C42" s="224" t="s">
        <v>204</v>
      </c>
      <c r="D42" s="54"/>
      <c r="E42" s="54"/>
      <c r="F42" s="54"/>
      <c r="G42" s="54"/>
      <c r="H42" s="54"/>
      <c r="I42" s="54"/>
      <c r="J42" s="54"/>
      <c r="K42" s="54"/>
      <c r="L42" s="63">
        <v>150</v>
      </c>
      <c r="M42" s="54"/>
      <c r="N42" s="63">
        <v>2</v>
      </c>
      <c r="O42" s="214">
        <v>50</v>
      </c>
      <c r="P42" s="215">
        <f>L42*N42*O42</f>
        <v>15000</v>
      </c>
      <c r="Q42" s="637"/>
      <c r="R42" s="637"/>
      <c r="S42" s="54"/>
    </row>
    <row r="43" spans="1:19">
      <c r="A43" s="198"/>
      <c r="B43" s="198"/>
      <c r="C43" s="224" t="s">
        <v>277</v>
      </c>
      <c r="D43" s="54"/>
      <c r="E43" s="54"/>
      <c r="F43" s="54"/>
      <c r="G43" s="54"/>
      <c r="H43" s="54"/>
      <c r="I43" s="54"/>
      <c r="J43" s="54"/>
      <c r="K43" s="54"/>
      <c r="L43" s="63">
        <v>150</v>
      </c>
      <c r="M43" s="54"/>
      <c r="N43" s="63">
        <v>1</v>
      </c>
      <c r="O43" s="214">
        <v>100</v>
      </c>
      <c r="P43" s="215">
        <f>L43*N43*O43</f>
        <v>15000</v>
      </c>
      <c r="Q43" s="631"/>
      <c r="R43" s="631"/>
      <c r="S43" s="54"/>
    </row>
    <row r="44" spans="1:19">
      <c r="A44" s="198"/>
      <c r="B44" s="198"/>
      <c r="C44" s="224" t="s">
        <v>206</v>
      </c>
      <c r="D44" s="54"/>
      <c r="E44" s="54"/>
      <c r="F44" s="54"/>
      <c r="G44" s="54"/>
      <c r="H44" s="54"/>
      <c r="I44" s="54"/>
      <c r="J44" s="54"/>
      <c r="K44" s="54"/>
      <c r="L44" s="63">
        <v>85</v>
      </c>
      <c r="M44" s="54"/>
      <c r="N44" s="63"/>
      <c r="O44" s="214">
        <v>2500</v>
      </c>
      <c r="P44" s="215">
        <f>L44*O44</f>
        <v>212500</v>
      </c>
      <c r="Q44" s="631"/>
      <c r="R44" s="631"/>
      <c r="S44" s="54"/>
    </row>
    <row r="45" spans="1:19" ht="43.5">
      <c r="A45" s="198"/>
      <c r="B45" s="198"/>
      <c r="C45" s="224" t="s">
        <v>279</v>
      </c>
      <c r="D45" s="54"/>
      <c r="E45" s="54"/>
      <c r="F45" s="54"/>
      <c r="G45" s="54"/>
      <c r="H45" s="54"/>
      <c r="I45" s="54"/>
      <c r="J45" s="54"/>
      <c r="K45" s="54"/>
      <c r="L45" s="63">
        <v>250</v>
      </c>
      <c r="M45" s="54"/>
      <c r="N45" s="63"/>
      <c r="O45" s="214">
        <v>350</v>
      </c>
      <c r="P45" s="215">
        <f>L45*O45</f>
        <v>87500</v>
      </c>
      <c r="Q45" s="631"/>
      <c r="R45" s="631"/>
      <c r="S45" s="54"/>
    </row>
    <row r="46" spans="1:19">
      <c r="A46" s="198"/>
      <c r="B46" s="198"/>
      <c r="C46" s="1495" t="s">
        <v>280</v>
      </c>
      <c r="D46" s="1487"/>
      <c r="E46" s="1487"/>
      <c r="F46" s="1487"/>
      <c r="G46" s="1487"/>
      <c r="H46" s="1487"/>
      <c r="I46" s="1487"/>
      <c r="J46" s="1487"/>
      <c r="K46" s="1487"/>
      <c r="L46" s="1488"/>
      <c r="M46" s="1487"/>
      <c r="N46" s="1488"/>
      <c r="O46" s="1489"/>
      <c r="P46" s="1494">
        <f>P47+P48+P49+P50+P51</f>
        <v>37600</v>
      </c>
      <c r="Q46" s="631"/>
      <c r="R46" s="631"/>
      <c r="S46" s="54"/>
    </row>
    <row r="47" spans="1:19">
      <c r="A47" s="198"/>
      <c r="B47" s="198"/>
      <c r="C47" s="216" t="s">
        <v>281</v>
      </c>
      <c r="D47" s="54"/>
      <c r="E47" s="54"/>
      <c r="F47" s="54"/>
      <c r="G47" s="54"/>
      <c r="H47" s="54"/>
      <c r="I47" s="54"/>
      <c r="J47" s="54"/>
      <c r="K47" s="54"/>
      <c r="L47" s="63">
        <v>8</v>
      </c>
      <c r="M47" s="54"/>
      <c r="N47" s="63"/>
      <c r="O47" s="226">
        <v>600</v>
      </c>
      <c r="P47" s="215">
        <f>L47*O47</f>
        <v>4800</v>
      </c>
      <c r="Q47" s="644"/>
      <c r="R47" s="644"/>
      <c r="S47" s="54"/>
    </row>
    <row r="48" spans="1:19">
      <c r="A48" s="198"/>
      <c r="B48" s="198"/>
      <c r="C48" s="224" t="s">
        <v>282</v>
      </c>
      <c r="D48" s="54"/>
      <c r="E48" s="54"/>
      <c r="F48" s="54"/>
      <c r="G48" s="54"/>
      <c r="H48" s="54"/>
      <c r="I48" s="54"/>
      <c r="J48" s="54"/>
      <c r="K48" s="54"/>
      <c r="L48" s="63">
        <v>8</v>
      </c>
      <c r="M48" s="54"/>
      <c r="N48" s="63"/>
      <c r="O48" s="226">
        <v>800</v>
      </c>
      <c r="P48" s="215">
        <f>L48*O48</f>
        <v>6400</v>
      </c>
      <c r="Q48" s="645"/>
      <c r="R48" s="645"/>
      <c r="S48" s="54"/>
    </row>
    <row r="49" spans="1:19">
      <c r="A49" s="198"/>
      <c r="B49" s="198"/>
      <c r="C49" s="224" t="s">
        <v>283</v>
      </c>
      <c r="D49" s="54"/>
      <c r="E49" s="54"/>
      <c r="F49" s="54"/>
      <c r="G49" s="54"/>
      <c r="H49" s="54"/>
      <c r="I49" s="54"/>
      <c r="J49" s="54"/>
      <c r="K49" s="54"/>
      <c r="L49" s="63">
        <v>8</v>
      </c>
      <c r="M49" s="54"/>
      <c r="N49" s="63"/>
      <c r="O49" s="226">
        <v>800</v>
      </c>
      <c r="P49" s="215">
        <f>O49*L49</f>
        <v>6400</v>
      </c>
      <c r="Q49" s="622"/>
      <c r="R49" s="622"/>
      <c r="S49" s="54"/>
    </row>
    <row r="50" spans="1:19">
      <c r="A50" s="198"/>
      <c r="B50" s="198"/>
      <c r="C50" s="224" t="s">
        <v>284</v>
      </c>
      <c r="D50" s="54"/>
      <c r="E50" s="54"/>
      <c r="F50" s="54"/>
      <c r="G50" s="54"/>
      <c r="H50" s="54"/>
      <c r="I50" s="54"/>
      <c r="J50" s="54"/>
      <c r="K50" s="54"/>
      <c r="L50" s="63">
        <v>8</v>
      </c>
      <c r="M50" s="54"/>
      <c r="N50" s="63"/>
      <c r="O50" s="226">
        <v>1000</v>
      </c>
      <c r="P50" s="215">
        <f>O50*L50</f>
        <v>8000</v>
      </c>
      <c r="Q50" s="624"/>
      <c r="R50" s="624"/>
      <c r="S50" s="54"/>
    </row>
    <row r="51" spans="1:19" ht="43.5">
      <c r="A51" s="198"/>
      <c r="B51" s="198"/>
      <c r="C51" s="224" t="s">
        <v>285</v>
      </c>
      <c r="D51" s="54"/>
      <c r="E51" s="54"/>
      <c r="F51" s="54"/>
      <c r="G51" s="54"/>
      <c r="H51" s="54"/>
      <c r="I51" s="54"/>
      <c r="J51" s="54"/>
      <c r="K51" s="54"/>
      <c r="L51" s="63">
        <v>10</v>
      </c>
      <c r="M51" s="54"/>
      <c r="N51" s="63"/>
      <c r="O51" s="226">
        <v>1200</v>
      </c>
      <c r="P51" s="215">
        <f>L51*O51</f>
        <v>12000</v>
      </c>
      <c r="Q51" s="645"/>
      <c r="R51" s="646"/>
      <c r="S51" s="54"/>
    </row>
    <row r="52" spans="1:19">
      <c r="A52" s="198"/>
      <c r="B52" s="198"/>
      <c r="C52" s="1486" t="s">
        <v>286</v>
      </c>
      <c r="D52" s="1487"/>
      <c r="E52" s="1487"/>
      <c r="F52" s="1487"/>
      <c r="G52" s="1487"/>
      <c r="H52" s="1487"/>
      <c r="I52" s="1487"/>
      <c r="J52" s="1487"/>
      <c r="K52" s="1487"/>
      <c r="L52" s="1488"/>
      <c r="M52" s="1487"/>
      <c r="N52" s="1488"/>
      <c r="O52" s="1496"/>
      <c r="P52" s="1494">
        <f>P53+P54</f>
        <v>1375000</v>
      </c>
      <c r="Q52" s="624"/>
      <c r="R52" s="624"/>
      <c r="S52" s="54"/>
    </row>
    <row r="53" spans="1:19">
      <c r="A53" s="203"/>
      <c r="B53" s="203"/>
      <c r="C53" s="216" t="s">
        <v>287</v>
      </c>
      <c r="D53" s="54"/>
      <c r="E53" s="54"/>
      <c r="F53" s="54"/>
      <c r="G53" s="54"/>
      <c r="H53" s="54"/>
      <c r="I53" s="54"/>
      <c r="J53" s="54"/>
      <c r="K53" s="54"/>
      <c r="L53" s="63">
        <v>350</v>
      </c>
      <c r="M53" s="54"/>
      <c r="N53" s="63"/>
      <c r="O53" s="226">
        <v>3500</v>
      </c>
      <c r="P53" s="215">
        <f>L53*O53</f>
        <v>1225000</v>
      </c>
      <c r="Q53" s="622"/>
      <c r="R53" s="622"/>
      <c r="S53" s="54"/>
    </row>
    <row r="54" spans="1:19">
      <c r="A54" s="198"/>
      <c r="B54" s="198"/>
      <c r="C54" s="1350" t="s">
        <v>288</v>
      </c>
      <c r="D54" s="54"/>
      <c r="E54" s="54"/>
      <c r="F54" s="54"/>
      <c r="G54" s="54"/>
      <c r="H54" s="54"/>
      <c r="I54" s="54"/>
      <c r="J54" s="54"/>
      <c r="K54" s="54"/>
      <c r="L54" s="63"/>
      <c r="M54" s="54"/>
      <c r="N54" s="63"/>
      <c r="O54" s="226"/>
      <c r="P54" s="215">
        <v>150000</v>
      </c>
      <c r="Q54" s="624"/>
      <c r="R54" s="624"/>
      <c r="S54" s="54"/>
    </row>
    <row r="55" spans="1:19" ht="59.25">
      <c r="A55" s="198"/>
      <c r="B55" s="198"/>
      <c r="C55" s="1497" t="s">
        <v>289</v>
      </c>
      <c r="D55" s="1487"/>
      <c r="E55" s="1487"/>
      <c r="F55" s="1487"/>
      <c r="G55" s="1487"/>
      <c r="H55" s="1487"/>
      <c r="I55" s="1487"/>
      <c r="J55" s="1487"/>
      <c r="K55" s="1487"/>
      <c r="L55" s="1488"/>
      <c r="M55" s="1487"/>
      <c r="N55" s="1488"/>
      <c r="O55" s="1489" t="s">
        <v>290</v>
      </c>
      <c r="P55" s="1494">
        <f>P56+P57+P58+P60+P61+P62+P63+P64+P65+P66+P67+P68+P69+P70+P71+P72+P73</f>
        <v>405600</v>
      </c>
      <c r="Q55" s="1367"/>
      <c r="R55" s="1367"/>
      <c r="S55" s="54"/>
    </row>
    <row r="56" spans="1:19">
      <c r="A56" s="198"/>
      <c r="B56" s="198"/>
      <c r="C56" s="1349" t="s">
        <v>291</v>
      </c>
      <c r="D56" s="227"/>
      <c r="E56" s="227"/>
      <c r="F56" s="227"/>
      <c r="G56" s="227"/>
      <c r="H56" s="227"/>
      <c r="I56" s="227"/>
      <c r="J56" s="227"/>
      <c r="K56" s="227"/>
      <c r="L56" s="228"/>
      <c r="M56" s="227"/>
      <c r="N56" s="34">
        <v>10</v>
      </c>
      <c r="O56" s="229">
        <v>350</v>
      </c>
      <c r="P56" s="215">
        <f>N56*O56</f>
        <v>3500</v>
      </c>
      <c r="Q56" s="648"/>
      <c r="R56" s="648"/>
      <c r="S56" s="54"/>
    </row>
    <row r="57" spans="1:19">
      <c r="A57" s="468"/>
      <c r="B57" s="468"/>
      <c r="C57" s="1349" t="s">
        <v>292</v>
      </c>
      <c r="D57" s="227"/>
      <c r="E57" s="227"/>
      <c r="F57" s="227"/>
      <c r="G57" s="227"/>
      <c r="H57" s="227"/>
      <c r="I57" s="227"/>
      <c r="J57" s="227"/>
      <c r="K57" s="227"/>
      <c r="L57" s="228"/>
      <c r="M57" s="227"/>
      <c r="N57" s="34">
        <v>500</v>
      </c>
      <c r="O57" s="229">
        <v>2</v>
      </c>
      <c r="P57" s="215">
        <f>N57*O57</f>
        <v>1000</v>
      </c>
      <c r="Q57" s="637"/>
      <c r="R57" s="637"/>
      <c r="S57" s="54"/>
    </row>
    <row r="58" spans="1:19">
      <c r="A58" s="198"/>
      <c r="B58" s="198"/>
      <c r="C58" s="1349" t="s">
        <v>293</v>
      </c>
      <c r="D58" s="227"/>
      <c r="E58" s="227"/>
      <c r="F58" s="227"/>
      <c r="G58" s="227"/>
      <c r="H58" s="227"/>
      <c r="I58" s="227"/>
      <c r="J58" s="227"/>
      <c r="K58" s="227"/>
      <c r="L58" s="228" t="s">
        <v>159</v>
      </c>
      <c r="M58" s="227"/>
      <c r="N58" s="34"/>
      <c r="O58" s="229">
        <v>260000</v>
      </c>
      <c r="P58" s="215">
        <f>O58</f>
        <v>260000</v>
      </c>
      <c r="Q58" s="624"/>
      <c r="R58" s="624"/>
      <c r="S58" s="54"/>
    </row>
    <row r="59" spans="1:19">
      <c r="A59" s="198"/>
      <c r="B59" s="198"/>
      <c r="C59" s="1351" t="s">
        <v>294</v>
      </c>
      <c r="D59" s="227"/>
      <c r="E59" s="227"/>
      <c r="F59" s="227"/>
      <c r="G59" s="227"/>
      <c r="H59" s="227"/>
      <c r="I59" s="227"/>
      <c r="J59" s="227"/>
      <c r="K59" s="227"/>
      <c r="L59" s="228"/>
      <c r="M59" s="227"/>
      <c r="N59" s="34"/>
      <c r="O59" s="229"/>
      <c r="P59" s="215"/>
      <c r="Q59" s="624"/>
      <c r="R59" s="624"/>
      <c r="S59" s="54"/>
    </row>
    <row r="60" spans="1:19">
      <c r="A60" s="198"/>
      <c r="B60" s="198"/>
      <c r="C60" s="222" t="s">
        <v>295</v>
      </c>
      <c r="D60" s="227"/>
      <c r="E60" s="227"/>
      <c r="F60" s="227"/>
      <c r="G60" s="227"/>
      <c r="H60" s="227"/>
      <c r="I60" s="227"/>
      <c r="J60" s="227"/>
      <c r="K60" s="227"/>
      <c r="L60" s="228">
        <v>2</v>
      </c>
      <c r="M60" s="227"/>
      <c r="N60" s="34"/>
      <c r="O60" s="229">
        <v>2000</v>
      </c>
      <c r="P60" s="215">
        <f>L60*O60</f>
        <v>4000</v>
      </c>
      <c r="Q60" s="624"/>
      <c r="R60" s="624"/>
      <c r="S60" s="54"/>
    </row>
    <row r="61" spans="1:19">
      <c r="A61" s="198"/>
      <c r="B61" s="198"/>
      <c r="C61" s="222" t="s">
        <v>296</v>
      </c>
      <c r="D61" s="227"/>
      <c r="E61" s="227"/>
      <c r="F61" s="227"/>
      <c r="G61" s="227"/>
      <c r="H61" s="227"/>
      <c r="I61" s="227"/>
      <c r="J61" s="227"/>
      <c r="K61" s="227"/>
      <c r="L61" s="228">
        <v>2</v>
      </c>
      <c r="M61" s="227"/>
      <c r="N61" s="34"/>
      <c r="O61" s="229">
        <v>2000</v>
      </c>
      <c r="P61" s="215">
        <f>L61*O61</f>
        <v>4000</v>
      </c>
      <c r="Q61" s="624"/>
      <c r="R61" s="624"/>
      <c r="S61" s="54"/>
    </row>
    <row r="62" spans="1:19">
      <c r="A62" s="198"/>
      <c r="B62" s="198"/>
      <c r="C62" s="1352" t="s">
        <v>297</v>
      </c>
      <c r="D62" s="227"/>
      <c r="E62" s="227"/>
      <c r="F62" s="227"/>
      <c r="G62" s="227"/>
      <c r="H62" s="227"/>
      <c r="I62" s="227"/>
      <c r="J62" s="227"/>
      <c r="K62" s="227"/>
      <c r="L62" s="228">
        <v>2</v>
      </c>
      <c r="M62" s="227"/>
      <c r="N62" s="34"/>
      <c r="O62" s="229">
        <v>1000</v>
      </c>
      <c r="P62" s="215">
        <f>L62*O62</f>
        <v>2000</v>
      </c>
      <c r="Q62" s="624"/>
      <c r="R62" s="624"/>
      <c r="S62" s="54"/>
    </row>
    <row r="63" spans="1:19">
      <c r="A63" s="198"/>
      <c r="B63" s="198"/>
      <c r="C63" s="222" t="s">
        <v>298</v>
      </c>
      <c r="D63" s="227"/>
      <c r="E63" s="227"/>
      <c r="F63" s="227"/>
      <c r="G63" s="227"/>
      <c r="H63" s="227"/>
      <c r="I63" s="227"/>
      <c r="J63" s="227"/>
      <c r="K63" s="227"/>
      <c r="L63" s="228">
        <v>2</v>
      </c>
      <c r="M63" s="227"/>
      <c r="N63" s="34"/>
      <c r="O63" s="229">
        <v>1000</v>
      </c>
      <c r="P63" s="215">
        <f>L63*O63</f>
        <v>2000</v>
      </c>
      <c r="Q63" s="624"/>
      <c r="R63" s="624"/>
      <c r="S63" s="54"/>
    </row>
    <row r="64" spans="1:19">
      <c r="A64" s="198"/>
      <c r="B64" s="198"/>
      <c r="C64" s="222" t="s">
        <v>299</v>
      </c>
      <c r="D64" s="227"/>
      <c r="E64" s="227"/>
      <c r="F64" s="227"/>
      <c r="G64" s="227"/>
      <c r="H64" s="227"/>
      <c r="I64" s="227"/>
      <c r="J64" s="227"/>
      <c r="K64" s="227"/>
      <c r="L64" s="228"/>
      <c r="M64" s="227"/>
      <c r="N64" s="34"/>
      <c r="O64" s="229">
        <v>8000</v>
      </c>
      <c r="P64" s="215">
        <f>O64</f>
        <v>8000</v>
      </c>
      <c r="Q64" s="654"/>
      <c r="R64" s="654"/>
      <c r="S64" s="54"/>
    </row>
    <row r="65" spans="1:19">
      <c r="A65" s="198"/>
      <c r="B65" s="198"/>
      <c r="C65" s="222" t="s">
        <v>300</v>
      </c>
      <c r="D65" s="227"/>
      <c r="E65" s="227"/>
      <c r="F65" s="227"/>
      <c r="G65" s="227"/>
      <c r="H65" s="227"/>
      <c r="I65" s="227"/>
      <c r="J65" s="227"/>
      <c r="K65" s="227"/>
      <c r="L65" s="228"/>
      <c r="M65" s="227"/>
      <c r="N65" s="34"/>
      <c r="O65" s="229">
        <v>8000</v>
      </c>
      <c r="P65" s="215">
        <f>O65</f>
        <v>8000</v>
      </c>
      <c r="Q65" s="631"/>
      <c r="R65" s="631"/>
      <c r="S65" s="54"/>
    </row>
    <row r="66" spans="1:19">
      <c r="A66" s="198"/>
      <c r="B66" s="198"/>
      <c r="C66" s="222" t="s">
        <v>301</v>
      </c>
      <c r="D66" s="227"/>
      <c r="E66" s="227"/>
      <c r="F66" s="227"/>
      <c r="G66" s="227"/>
      <c r="H66" s="227"/>
      <c r="I66" s="227"/>
      <c r="J66" s="227"/>
      <c r="K66" s="227"/>
      <c r="L66" s="228"/>
      <c r="M66" s="227"/>
      <c r="N66" s="34"/>
      <c r="O66" s="229">
        <v>300</v>
      </c>
      <c r="P66" s="215">
        <f>O66</f>
        <v>300</v>
      </c>
      <c r="Q66" s="626"/>
      <c r="R66" s="626"/>
      <c r="S66" s="54"/>
    </row>
    <row r="67" spans="1:19">
      <c r="A67" s="198"/>
      <c r="B67" s="198"/>
      <c r="C67" s="1352" t="s">
        <v>302</v>
      </c>
      <c r="D67" s="227"/>
      <c r="E67" s="227"/>
      <c r="F67" s="227"/>
      <c r="G67" s="227"/>
      <c r="H67" s="227"/>
      <c r="I67" s="227"/>
      <c r="J67" s="227"/>
      <c r="K67" s="227"/>
      <c r="L67" s="228"/>
      <c r="M67" s="227"/>
      <c r="N67" s="34">
        <v>6</v>
      </c>
      <c r="O67" s="229">
        <v>300</v>
      </c>
      <c r="P67" s="215">
        <f>N67*O67</f>
        <v>1800</v>
      </c>
      <c r="Q67" s="656"/>
      <c r="R67" s="622"/>
      <c r="S67" s="54"/>
    </row>
    <row r="68" spans="1:19">
      <c r="A68" s="198"/>
      <c r="B68" s="198"/>
      <c r="C68" s="222" t="s">
        <v>303</v>
      </c>
      <c r="D68" s="227"/>
      <c r="E68" s="227"/>
      <c r="F68" s="227"/>
      <c r="G68" s="227"/>
      <c r="H68" s="227"/>
      <c r="I68" s="227"/>
      <c r="J68" s="227"/>
      <c r="K68" s="227"/>
      <c r="L68" s="228"/>
      <c r="M68" s="227"/>
      <c r="N68" s="34"/>
      <c r="O68" s="229">
        <v>1000</v>
      </c>
      <c r="P68" s="215">
        <f>O68</f>
        <v>1000</v>
      </c>
      <c r="Q68" s="624"/>
      <c r="R68" s="624"/>
      <c r="S68" s="54"/>
    </row>
    <row r="69" spans="1:19">
      <c r="A69" s="198"/>
      <c r="B69" s="198"/>
      <c r="C69" s="222" t="s">
        <v>304</v>
      </c>
      <c r="D69" s="227"/>
      <c r="E69" s="227"/>
      <c r="F69" s="227"/>
      <c r="G69" s="227"/>
      <c r="H69" s="227"/>
      <c r="I69" s="227"/>
      <c r="J69" s="227"/>
      <c r="K69" s="227"/>
      <c r="L69" s="228"/>
      <c r="M69" s="227"/>
      <c r="N69" s="34">
        <v>3</v>
      </c>
      <c r="O69" s="229">
        <v>3000</v>
      </c>
      <c r="P69" s="215">
        <f>N69*O69</f>
        <v>9000</v>
      </c>
      <c r="Q69" s="624"/>
      <c r="R69" s="624"/>
      <c r="S69" s="227" t="s">
        <v>305</v>
      </c>
    </row>
    <row r="70" spans="1:19">
      <c r="A70" s="198"/>
      <c r="B70" s="198"/>
      <c r="C70" s="1352" t="s">
        <v>306</v>
      </c>
      <c r="D70" s="227"/>
      <c r="E70" s="227"/>
      <c r="F70" s="227"/>
      <c r="G70" s="227"/>
      <c r="H70" s="227"/>
      <c r="I70" s="227"/>
      <c r="J70" s="227"/>
      <c r="K70" s="227"/>
      <c r="L70" s="228"/>
      <c r="M70" s="227"/>
      <c r="N70" s="34">
        <v>240</v>
      </c>
      <c r="O70" s="229">
        <v>300</v>
      </c>
      <c r="P70" s="215">
        <f>N70*O70</f>
        <v>72000</v>
      </c>
      <c r="Q70" s="648"/>
      <c r="R70" s="648"/>
      <c r="S70" s="227"/>
    </row>
    <row r="71" spans="1:19">
      <c r="A71" s="198"/>
      <c r="B71" s="198"/>
      <c r="C71" s="222" t="s">
        <v>307</v>
      </c>
      <c r="D71" s="227"/>
      <c r="E71" s="227"/>
      <c r="F71" s="227"/>
      <c r="G71" s="227"/>
      <c r="H71" s="227"/>
      <c r="I71" s="227"/>
      <c r="J71" s="227"/>
      <c r="K71" s="227"/>
      <c r="L71" s="228"/>
      <c r="M71" s="227"/>
      <c r="N71" s="34">
        <v>3</v>
      </c>
      <c r="O71" s="229">
        <v>4500</v>
      </c>
      <c r="P71" s="215">
        <f>N71*O71</f>
        <v>13500</v>
      </c>
      <c r="Q71" s="624"/>
      <c r="R71" s="624"/>
      <c r="S71" s="227"/>
    </row>
    <row r="72" spans="1:19">
      <c r="A72" s="198"/>
      <c r="B72" s="198"/>
      <c r="C72" s="222" t="s">
        <v>308</v>
      </c>
      <c r="D72" s="227"/>
      <c r="E72" s="227"/>
      <c r="F72" s="227"/>
      <c r="G72" s="227"/>
      <c r="H72" s="227"/>
      <c r="I72" s="227"/>
      <c r="J72" s="227"/>
      <c r="K72" s="227"/>
      <c r="L72" s="228"/>
      <c r="M72" s="227"/>
      <c r="N72" s="34">
        <v>1</v>
      </c>
      <c r="O72" s="229">
        <v>12500</v>
      </c>
      <c r="P72" s="215">
        <f>N72*O72</f>
        <v>12500</v>
      </c>
      <c r="Q72" s="645"/>
      <c r="R72" s="645"/>
      <c r="S72" s="227"/>
    </row>
    <row r="73" spans="1:19">
      <c r="A73" s="198"/>
      <c r="B73" s="198"/>
      <c r="C73" s="222" t="s">
        <v>309</v>
      </c>
      <c r="D73" s="227"/>
      <c r="E73" s="227"/>
      <c r="F73" s="227"/>
      <c r="G73" s="227"/>
      <c r="H73" s="227"/>
      <c r="I73" s="227"/>
      <c r="J73" s="227"/>
      <c r="K73" s="227"/>
      <c r="L73" s="228"/>
      <c r="M73" s="227"/>
      <c r="N73" s="34">
        <v>2</v>
      </c>
      <c r="O73" s="229">
        <v>1500</v>
      </c>
      <c r="P73" s="215">
        <f>N73*O73</f>
        <v>3000</v>
      </c>
      <c r="Q73" s="622"/>
      <c r="R73" s="622"/>
      <c r="S73" s="227"/>
    </row>
    <row r="74" spans="1:19">
      <c r="A74" s="203"/>
      <c r="B74" s="203"/>
      <c r="C74" s="1498" t="s">
        <v>170</v>
      </c>
      <c r="D74" s="1487"/>
      <c r="E74" s="1487"/>
      <c r="F74" s="1487"/>
      <c r="G74" s="1487"/>
      <c r="H74" s="1487"/>
      <c r="I74" s="1487"/>
      <c r="J74" s="1487"/>
      <c r="K74" s="1487"/>
      <c r="L74" s="1488"/>
      <c r="M74" s="1487"/>
      <c r="N74" s="1488"/>
      <c r="O74" s="1489">
        <v>4800</v>
      </c>
      <c r="P74" s="1494">
        <f>O74</f>
        <v>4800</v>
      </c>
      <c r="Q74" s="624"/>
      <c r="R74" s="624"/>
      <c r="S74" s="54"/>
    </row>
    <row r="75" spans="1:19" s="726" customFormat="1" ht="21" customHeight="1">
      <c r="C75" s="1346" t="s">
        <v>171</v>
      </c>
      <c r="D75" s="767" t="s">
        <v>172</v>
      </c>
      <c r="E75" s="767"/>
      <c r="F75" s="767"/>
      <c r="G75" s="766"/>
      <c r="H75" s="766"/>
      <c r="I75" s="766"/>
      <c r="J75" s="766"/>
      <c r="K75" s="766"/>
      <c r="L75" s="766"/>
      <c r="M75" s="766"/>
      <c r="N75" s="766"/>
      <c r="O75" s="766"/>
      <c r="P75" s="772"/>
      <c r="Q75" s="772"/>
      <c r="R75" s="772"/>
      <c r="S75" s="766"/>
    </row>
    <row r="76" spans="1:19" s="726" customFormat="1" ht="21" customHeight="1">
      <c r="D76" s="726" t="s">
        <v>466</v>
      </c>
      <c r="P76" s="712"/>
      <c r="Q76" s="712"/>
      <c r="R76" s="712"/>
    </row>
    <row r="77" spans="1:19">
      <c r="Q77" s="712"/>
      <c r="R77" s="712"/>
    </row>
    <row r="78" spans="1:19">
      <c r="Q78" s="712"/>
      <c r="R78" s="712"/>
    </row>
    <row r="79" spans="1:19">
      <c r="Q79" s="712"/>
      <c r="R79" s="712"/>
    </row>
    <row r="80" spans="1:19">
      <c r="Q80" s="712"/>
      <c r="R80" s="712"/>
    </row>
    <row r="81" spans="17:18">
      <c r="Q81" s="712"/>
      <c r="R81" s="712"/>
    </row>
    <row r="82" spans="17:18">
      <c r="Q82" s="712"/>
      <c r="R82" s="712"/>
    </row>
    <row r="83" spans="17:18">
      <c r="Q83" s="712"/>
      <c r="R83" s="712"/>
    </row>
    <row r="84" spans="17:18">
      <c r="Q84" s="712"/>
      <c r="R84" s="712"/>
    </row>
    <row r="85" spans="17:18">
      <c r="Q85" s="712"/>
      <c r="R85" s="712"/>
    </row>
    <row r="86" spans="17:18">
      <c r="Q86" s="712"/>
      <c r="R86" s="712"/>
    </row>
    <row r="87" spans="17:18">
      <c r="Q87" s="712"/>
      <c r="R87" s="712"/>
    </row>
    <row r="88" spans="17:18">
      <c r="Q88" s="712"/>
      <c r="R88" s="712"/>
    </row>
    <row r="89" spans="17:18">
      <c r="Q89" s="712"/>
      <c r="R89" s="712"/>
    </row>
    <row r="90" spans="17:18">
      <c r="Q90" s="712"/>
      <c r="R90" s="712"/>
    </row>
    <row r="91" spans="17:18">
      <c r="Q91" s="712"/>
      <c r="R91" s="712"/>
    </row>
    <row r="92" spans="17:18">
      <c r="Q92" s="712"/>
      <c r="R92" s="712"/>
    </row>
    <row r="93" spans="17:18">
      <c r="Q93" s="712"/>
      <c r="R93" s="712"/>
    </row>
    <row r="94" spans="17:18">
      <c r="Q94" s="712"/>
      <c r="R94" s="712"/>
    </row>
    <row r="95" spans="17:18">
      <c r="Q95" s="712"/>
      <c r="R95" s="712"/>
    </row>
    <row r="96" spans="17:18">
      <c r="Q96" s="712"/>
      <c r="R96" s="712"/>
    </row>
    <row r="97" spans="17:18">
      <c r="Q97" s="712"/>
      <c r="R97" s="712"/>
    </row>
    <row r="98" spans="17:18">
      <c r="Q98" s="712"/>
      <c r="R98" s="712"/>
    </row>
    <row r="99" spans="17:18">
      <c r="Q99" s="712"/>
      <c r="R99" s="712"/>
    </row>
    <row r="100" spans="17:18">
      <c r="Q100" s="712"/>
      <c r="R100" s="712"/>
    </row>
    <row r="101" spans="17:18">
      <c r="Q101" s="712"/>
      <c r="R101" s="712"/>
    </row>
    <row r="102" spans="17:18">
      <c r="Q102" s="712"/>
      <c r="R102" s="712"/>
    </row>
    <row r="103" spans="17:18">
      <c r="Q103" s="712"/>
      <c r="R103" s="712"/>
    </row>
    <row r="104" spans="17:18">
      <c r="Q104" s="712"/>
      <c r="R104" s="712"/>
    </row>
    <row r="105" spans="17:18">
      <c r="Q105" s="712"/>
      <c r="R105" s="712"/>
    </row>
    <row r="106" spans="17:18">
      <c r="Q106" s="712"/>
      <c r="R106" s="712"/>
    </row>
    <row r="107" spans="17:18">
      <c r="Q107" s="712"/>
      <c r="R107" s="712"/>
    </row>
    <row r="108" spans="17:18">
      <c r="Q108" s="712"/>
      <c r="R108" s="712"/>
    </row>
    <row r="109" spans="17:18">
      <c r="Q109" s="712"/>
      <c r="R109" s="712"/>
    </row>
    <row r="110" spans="17:18">
      <c r="Q110" s="712"/>
      <c r="R110" s="712"/>
    </row>
    <row r="111" spans="17:18">
      <c r="Q111" s="712"/>
      <c r="R111" s="712"/>
    </row>
    <row r="112" spans="17:18">
      <c r="Q112" s="712"/>
      <c r="R112" s="712"/>
    </row>
    <row r="113" spans="17:18">
      <c r="Q113" s="712"/>
      <c r="R113" s="712"/>
    </row>
    <row r="114" spans="17:18">
      <c r="Q114" s="712"/>
      <c r="R114" s="712"/>
    </row>
    <row r="115" spans="17:18">
      <c r="Q115" s="712"/>
      <c r="R115" s="712"/>
    </row>
    <row r="116" spans="17:18">
      <c r="Q116" s="712"/>
      <c r="R116" s="712"/>
    </row>
    <row r="117" spans="17:18">
      <c r="Q117" s="712"/>
      <c r="R117" s="712"/>
    </row>
    <row r="118" spans="17:18">
      <c r="Q118" s="712"/>
      <c r="R118" s="712"/>
    </row>
    <row r="119" spans="17:18">
      <c r="Q119" s="712"/>
      <c r="R119" s="712"/>
    </row>
    <row r="120" spans="17:18">
      <c r="Q120" s="712"/>
      <c r="R120" s="712"/>
    </row>
    <row r="121" spans="17:18">
      <c r="Q121" s="712"/>
      <c r="R121" s="712"/>
    </row>
    <row r="122" spans="17:18">
      <c r="Q122" s="712"/>
      <c r="R122" s="712"/>
    </row>
    <row r="123" spans="17:18">
      <c r="Q123" s="712"/>
      <c r="R123" s="712"/>
    </row>
    <row r="124" spans="17:18">
      <c r="Q124" s="712"/>
      <c r="R124" s="712"/>
    </row>
    <row r="125" spans="17:18">
      <c r="Q125" s="712"/>
      <c r="R125" s="712"/>
    </row>
    <row r="126" spans="17:18">
      <c r="Q126" s="712"/>
      <c r="R126" s="712"/>
    </row>
    <row r="127" spans="17:18">
      <c r="Q127" s="712"/>
      <c r="R127" s="712"/>
    </row>
    <row r="128" spans="17:18">
      <c r="Q128" s="712"/>
      <c r="R128" s="712"/>
    </row>
    <row r="129" spans="17:18">
      <c r="Q129" s="712"/>
      <c r="R129" s="712"/>
    </row>
    <row r="130" spans="17:18">
      <c r="Q130" s="712"/>
      <c r="R130" s="712"/>
    </row>
    <row r="131" spans="17:18">
      <c r="Q131" s="712"/>
      <c r="R131" s="712"/>
    </row>
    <row r="132" spans="17:18">
      <c r="Q132" s="696"/>
      <c r="R132" s="696"/>
    </row>
    <row r="133" spans="17:18">
      <c r="Q133" s="696"/>
      <c r="R133" s="696"/>
    </row>
    <row r="134" spans="17:18">
      <c r="Q134" s="583"/>
      <c r="R134" s="583"/>
    </row>
  </sheetData>
  <mergeCells count="25">
    <mergeCell ref="A6:B8"/>
    <mergeCell ref="A1:S1"/>
    <mergeCell ref="A2:S2"/>
    <mergeCell ref="M7:M9"/>
    <mergeCell ref="N7:N9"/>
    <mergeCell ref="O7:O9"/>
    <mergeCell ref="P7:P9"/>
    <mergeCell ref="I8:I9"/>
    <mergeCell ref="J8:J9"/>
    <mergeCell ref="K8:K9"/>
    <mergeCell ref="C6:C9"/>
    <mergeCell ref="D6:E7"/>
    <mergeCell ref="F6:G7"/>
    <mergeCell ref="H6:P6"/>
    <mergeCell ref="S6:S9"/>
    <mergeCell ref="H7:H9"/>
    <mergeCell ref="I7:K7"/>
    <mergeCell ref="L7:L9"/>
    <mergeCell ref="S35:S38"/>
    <mergeCell ref="Q6:Q8"/>
    <mergeCell ref="R6:R8"/>
    <mergeCell ref="S16:S18"/>
    <mergeCell ref="S19:S21"/>
    <mergeCell ref="S22:S25"/>
    <mergeCell ref="S26:S29"/>
  </mergeCells>
  <pageMargins left="0.31496062992125984" right="0.31496062992125984" top="0.74803149606299213" bottom="0.35433070866141736" header="0.31496062992125984" footer="0.31496062992125984"/>
  <pageSetup paperSize="9" scale="70" orientation="landscape" r:id="rId1"/>
  <headerFooter>
    <oddFooter>&amp;C&amp;P/3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5"/>
  <sheetViews>
    <sheetView zoomScale="90" zoomScaleNormal="90" zoomScaleSheetLayoutView="90" workbookViewId="0">
      <selection activeCell="S36" sqref="S36"/>
    </sheetView>
  </sheetViews>
  <sheetFormatPr defaultColWidth="8.375" defaultRowHeight="21.75"/>
  <cols>
    <col min="1" max="2" width="5" style="39" customWidth="1"/>
    <col min="3" max="3" width="41.625" style="82" customWidth="1"/>
    <col min="4" max="4" width="7.125" style="39" customWidth="1"/>
    <col min="5" max="5" width="6.375" style="39" bestFit="1" customWidth="1"/>
    <col min="6" max="6" width="5.75" style="39" bestFit="1" customWidth="1"/>
    <col min="7" max="7" width="6.375" style="39" bestFit="1" customWidth="1"/>
    <col min="8" max="8" width="8.25" style="39" customWidth="1"/>
    <col min="9" max="11" width="4.875" style="39" customWidth="1"/>
    <col min="12" max="12" width="7.375" style="80" customWidth="1"/>
    <col min="13" max="13" width="8.875" style="39" customWidth="1"/>
    <col min="14" max="14" width="7" style="80" customWidth="1"/>
    <col min="15" max="15" width="8.375" style="39"/>
    <col min="16" max="16" width="11.375" style="81" customWidth="1"/>
    <col min="17" max="17" width="6.625" style="81" customWidth="1"/>
    <col min="18" max="18" width="6.75" style="81" customWidth="1"/>
    <col min="19" max="19" width="21.75" style="39" customWidth="1"/>
    <col min="20" max="20" width="12.125" style="39" bestFit="1" customWidth="1"/>
    <col min="21" max="16384" width="8.375" style="39"/>
  </cols>
  <sheetData>
    <row r="1" spans="1:21" ht="25.5">
      <c r="A1" s="1570" t="s">
        <v>84</v>
      </c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"/>
      <c r="U1" s="157"/>
    </row>
    <row r="2" spans="1:21" ht="25.5">
      <c r="A2" s="1570" t="s">
        <v>173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"/>
      <c r="U2" s="157"/>
    </row>
    <row r="3" spans="1:21">
      <c r="A3" s="1671" t="s">
        <v>0</v>
      </c>
      <c r="B3" s="1671"/>
      <c r="C3" s="1671"/>
      <c r="D3" s="40"/>
      <c r="E3" s="40"/>
      <c r="F3" s="40"/>
      <c r="P3" s="231"/>
    </row>
    <row r="4" spans="1:21">
      <c r="A4" s="1671" t="s">
        <v>1</v>
      </c>
      <c r="B4" s="1671"/>
      <c r="C4" s="1671"/>
    </row>
    <row r="5" spans="1:21">
      <c r="S5" s="83" t="s">
        <v>86</v>
      </c>
    </row>
    <row r="6" spans="1:21" s="84" customFormat="1" ht="18.75">
      <c r="A6" s="1587" t="s">
        <v>87</v>
      </c>
      <c r="B6" s="1605"/>
      <c r="C6" s="1658" t="s">
        <v>88</v>
      </c>
      <c r="D6" s="1660" t="s">
        <v>15</v>
      </c>
      <c r="E6" s="1661"/>
      <c r="F6" s="1660" t="s">
        <v>28</v>
      </c>
      <c r="G6" s="1661"/>
      <c r="H6" s="1672" t="s">
        <v>63</v>
      </c>
      <c r="I6" s="1672"/>
      <c r="J6" s="1672"/>
      <c r="K6" s="1672"/>
      <c r="L6" s="1672"/>
      <c r="M6" s="1672"/>
      <c r="N6" s="1672"/>
      <c r="O6" s="1672"/>
      <c r="P6" s="1672"/>
      <c r="Q6" s="1577" t="s">
        <v>89</v>
      </c>
      <c r="R6" s="1577" t="s">
        <v>90</v>
      </c>
      <c r="S6" s="1667" t="s">
        <v>1767</v>
      </c>
    </row>
    <row r="7" spans="1:21" s="84" customFormat="1" ht="18.75">
      <c r="A7" s="1606"/>
      <c r="B7" s="1607"/>
      <c r="C7" s="1659"/>
      <c r="D7" s="1662"/>
      <c r="E7" s="1663"/>
      <c r="F7" s="1662"/>
      <c r="G7" s="1663"/>
      <c r="H7" s="1674" t="s">
        <v>76</v>
      </c>
      <c r="I7" s="1674" t="s">
        <v>77</v>
      </c>
      <c r="J7" s="1674"/>
      <c r="K7" s="1674"/>
      <c r="L7" s="1645" t="s">
        <v>175</v>
      </c>
      <c r="M7" s="1670" t="s">
        <v>92</v>
      </c>
      <c r="N7" s="1670" t="s">
        <v>93</v>
      </c>
      <c r="O7" s="1653" t="s">
        <v>94</v>
      </c>
      <c r="P7" s="1655" t="s">
        <v>10</v>
      </c>
      <c r="Q7" s="1583"/>
      <c r="R7" s="1583"/>
      <c r="S7" s="1653"/>
    </row>
    <row r="8" spans="1:21" s="84" customFormat="1" ht="18.75">
      <c r="A8" s="1608"/>
      <c r="B8" s="1609"/>
      <c r="C8" s="1659"/>
      <c r="D8" s="162" t="s">
        <v>4</v>
      </c>
      <c r="E8" s="162" t="s">
        <v>5</v>
      </c>
      <c r="F8" s="162" t="s">
        <v>4</v>
      </c>
      <c r="G8" s="162" t="s">
        <v>6</v>
      </c>
      <c r="H8" s="1667"/>
      <c r="I8" s="1674"/>
      <c r="J8" s="1674"/>
      <c r="K8" s="1674"/>
      <c r="L8" s="1645" t="s">
        <v>95</v>
      </c>
      <c r="M8" s="1670"/>
      <c r="N8" s="1670"/>
      <c r="O8" s="1653"/>
      <c r="P8" s="1655"/>
      <c r="Q8" s="1583"/>
      <c r="R8" s="1583"/>
      <c r="S8" s="1653"/>
    </row>
    <row r="9" spans="1:21" s="84" customFormat="1" ht="18.75">
      <c r="A9" s="416" t="s">
        <v>96</v>
      </c>
      <c r="B9" s="416" t="s">
        <v>97</v>
      </c>
      <c r="C9" s="232"/>
      <c r="D9" s="233"/>
      <c r="E9" s="233"/>
      <c r="F9" s="233"/>
      <c r="G9" s="233"/>
      <c r="H9" s="234"/>
      <c r="I9" s="234" t="s">
        <v>78</v>
      </c>
      <c r="J9" s="234" t="s">
        <v>79</v>
      </c>
      <c r="K9" s="234" t="s">
        <v>80</v>
      </c>
      <c r="L9" s="234"/>
      <c r="M9" s="234"/>
      <c r="N9" s="234"/>
      <c r="O9" s="234"/>
      <c r="P9" s="235"/>
      <c r="Q9" s="76"/>
      <c r="R9" s="76"/>
      <c r="S9" s="234"/>
    </row>
    <row r="10" spans="1:21" s="84" customFormat="1" ht="19.5" thickBot="1">
      <c r="A10" s="566"/>
      <c r="B10" s="566"/>
      <c r="C10" s="165" t="s">
        <v>11</v>
      </c>
      <c r="D10" s="166"/>
      <c r="E10" s="166"/>
      <c r="F10" s="166"/>
      <c r="G10" s="166"/>
      <c r="H10" s="167"/>
      <c r="I10" s="167"/>
      <c r="J10" s="167"/>
      <c r="K10" s="167"/>
      <c r="L10" s="167"/>
      <c r="M10" s="167"/>
      <c r="N10" s="167"/>
      <c r="O10" s="167"/>
      <c r="P10" s="236">
        <f>P15</f>
        <v>4000000</v>
      </c>
      <c r="Q10" s="97"/>
      <c r="R10" s="97"/>
      <c r="S10" s="92"/>
    </row>
    <row r="11" spans="1:21" s="105" customFormat="1" ht="19.5" thickTop="1">
      <c r="A11" s="477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479"/>
      <c r="Q11" s="479"/>
      <c r="R11" s="479"/>
      <c r="S11" s="104"/>
    </row>
    <row r="12" spans="1:21">
      <c r="A12" s="198"/>
      <c r="B12" s="198"/>
      <c r="C12" s="480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483"/>
      <c r="Q12" s="215"/>
      <c r="R12" s="215"/>
      <c r="S12" s="54"/>
    </row>
    <row r="13" spans="1:21">
      <c r="A13" s="198"/>
      <c r="B13" s="198"/>
      <c r="C13" s="480" t="s">
        <v>98</v>
      </c>
      <c r="D13" s="54"/>
      <c r="E13" s="54"/>
      <c r="F13" s="54"/>
      <c r="G13" s="54"/>
      <c r="H13" s="54"/>
      <c r="I13" s="54"/>
      <c r="J13" s="54"/>
      <c r="K13" s="54"/>
      <c r="L13" s="481"/>
      <c r="M13" s="482"/>
      <c r="N13" s="481"/>
      <c r="O13" s="482"/>
      <c r="P13" s="483"/>
      <c r="Q13" s="215"/>
      <c r="R13" s="215"/>
      <c r="S13" s="54"/>
    </row>
    <row r="14" spans="1:21">
      <c r="A14" s="198"/>
      <c r="B14" s="198"/>
      <c r="C14" s="484" t="s">
        <v>310</v>
      </c>
      <c r="D14" s="485"/>
      <c r="E14" s="485"/>
      <c r="F14" s="169"/>
      <c r="G14" s="170"/>
      <c r="H14" s="170"/>
      <c r="I14" s="170"/>
      <c r="J14" s="170"/>
      <c r="K14" s="170"/>
      <c r="L14" s="171"/>
      <c r="M14" s="172"/>
      <c r="N14" s="171"/>
      <c r="O14" s="172"/>
      <c r="P14" s="199"/>
      <c r="Q14" s="200"/>
      <c r="R14" s="200"/>
      <c r="S14" s="72"/>
    </row>
    <row r="15" spans="1:21">
      <c r="A15" s="198"/>
      <c r="B15" s="467"/>
      <c r="C15" s="567" t="s">
        <v>841</v>
      </c>
      <c r="D15" s="55"/>
      <c r="E15" s="55"/>
      <c r="F15" s="112"/>
      <c r="G15" s="72"/>
      <c r="H15" s="72"/>
      <c r="I15" s="72"/>
      <c r="J15" s="72"/>
      <c r="K15" s="72"/>
      <c r="L15" s="107"/>
      <c r="M15" s="108"/>
      <c r="N15" s="107"/>
      <c r="O15" s="108"/>
      <c r="P15" s="109">
        <f>P17+P23+P25</f>
        <v>4000000</v>
      </c>
      <c r="Q15" s="110"/>
      <c r="R15" s="110"/>
      <c r="S15" s="72"/>
    </row>
    <row r="16" spans="1:21">
      <c r="A16" s="198"/>
      <c r="B16" s="198"/>
      <c r="C16" s="237" t="s">
        <v>12</v>
      </c>
      <c r="D16" s="115"/>
      <c r="E16" s="115"/>
      <c r="F16" s="115"/>
      <c r="G16" s="72"/>
      <c r="H16" s="72"/>
      <c r="I16" s="72"/>
      <c r="J16" s="72"/>
      <c r="K16" s="72"/>
      <c r="L16" s="107"/>
      <c r="M16" s="108"/>
      <c r="N16" s="107"/>
      <c r="O16" s="108"/>
      <c r="P16" s="110"/>
      <c r="Q16" s="110"/>
      <c r="R16" s="110"/>
      <c r="S16" s="185" t="s">
        <v>178</v>
      </c>
    </row>
    <row r="17" spans="1:20">
      <c r="A17" s="198"/>
      <c r="B17" s="198"/>
      <c r="C17" s="177" t="s">
        <v>101</v>
      </c>
      <c r="D17" s="118"/>
      <c r="E17" s="118"/>
      <c r="F17" s="118"/>
      <c r="G17" s="118"/>
      <c r="H17" s="118"/>
      <c r="I17" s="118"/>
      <c r="J17" s="118"/>
      <c r="K17" s="118"/>
      <c r="L17" s="119"/>
      <c r="M17" s="118"/>
      <c r="N17" s="119"/>
      <c r="O17" s="118"/>
      <c r="P17" s="201">
        <f>SUM(P18:P22)</f>
        <v>2330000</v>
      </c>
      <c r="Q17" s="1502"/>
      <c r="R17" s="1502"/>
      <c r="S17" s="1673" t="s">
        <v>311</v>
      </c>
      <c r="T17" s="178"/>
    </row>
    <row r="18" spans="1:20">
      <c r="A18" s="198"/>
      <c r="B18" s="198"/>
      <c r="C18" s="179" t="s">
        <v>257</v>
      </c>
      <c r="D18" s="72"/>
      <c r="E18" s="72"/>
      <c r="F18" s="72"/>
      <c r="G18" s="72"/>
      <c r="H18" s="74" t="s">
        <v>103</v>
      </c>
      <c r="I18" s="72"/>
      <c r="J18" s="123" t="s">
        <v>104</v>
      </c>
      <c r="K18" s="72"/>
      <c r="L18" s="74">
        <v>1</v>
      </c>
      <c r="M18" s="74" t="s">
        <v>312</v>
      </c>
      <c r="N18" s="132">
        <v>5</v>
      </c>
      <c r="O18" s="186">
        <v>70000</v>
      </c>
      <c r="P18" s="110">
        <f>L18*N18*O18</f>
        <v>350000</v>
      </c>
      <c r="Q18" s="1503"/>
      <c r="R18" s="1503"/>
      <c r="S18" s="1673"/>
      <c r="T18" s="178"/>
    </row>
    <row r="19" spans="1:20">
      <c r="A19" s="198"/>
      <c r="B19" s="198"/>
      <c r="C19" s="179" t="s">
        <v>313</v>
      </c>
      <c r="D19" s="72"/>
      <c r="E19" s="72"/>
      <c r="F19" s="72"/>
      <c r="G19" s="72"/>
      <c r="H19" s="74" t="s">
        <v>103</v>
      </c>
      <c r="I19" s="72"/>
      <c r="J19" s="123" t="s">
        <v>104</v>
      </c>
      <c r="K19" s="72"/>
      <c r="L19" s="74">
        <v>1</v>
      </c>
      <c r="M19" s="74" t="s">
        <v>227</v>
      </c>
      <c r="N19" s="132">
        <v>6</v>
      </c>
      <c r="O19" s="186">
        <v>60000</v>
      </c>
      <c r="P19" s="110">
        <f>L19*N19*O19</f>
        <v>360000</v>
      </c>
      <c r="Q19" s="1503"/>
      <c r="R19" s="1503"/>
      <c r="S19" s="1673"/>
    </row>
    <row r="20" spans="1:20">
      <c r="A20" s="198"/>
      <c r="B20" s="198"/>
      <c r="C20" s="179" t="s">
        <v>314</v>
      </c>
      <c r="D20" s="72"/>
      <c r="E20" s="72"/>
      <c r="F20" s="72"/>
      <c r="G20" s="72"/>
      <c r="H20" s="74" t="s">
        <v>103</v>
      </c>
      <c r="I20" s="72"/>
      <c r="J20" s="123" t="s">
        <v>104</v>
      </c>
      <c r="K20" s="72"/>
      <c r="L20" s="74">
        <v>1</v>
      </c>
      <c r="M20" s="74" t="s">
        <v>229</v>
      </c>
      <c r="N20" s="132">
        <v>6</v>
      </c>
      <c r="O20" s="186">
        <v>60000</v>
      </c>
      <c r="P20" s="110">
        <f>L20*N20*O20</f>
        <v>360000</v>
      </c>
      <c r="Q20" s="1503"/>
      <c r="R20" s="1503"/>
      <c r="S20" s="1673"/>
    </row>
    <row r="21" spans="1:20">
      <c r="A21" s="198"/>
      <c r="B21" s="198"/>
      <c r="C21" s="238" t="s">
        <v>315</v>
      </c>
      <c r="D21" s="72"/>
      <c r="E21" s="72"/>
      <c r="F21" s="72"/>
      <c r="G21" s="72"/>
      <c r="H21" s="74" t="s">
        <v>103</v>
      </c>
      <c r="I21" s="72"/>
      <c r="J21" s="123" t="s">
        <v>104</v>
      </c>
      <c r="K21" s="72"/>
      <c r="L21" s="74">
        <v>1</v>
      </c>
      <c r="M21" s="74" t="s">
        <v>227</v>
      </c>
      <c r="N21" s="132">
        <v>6</v>
      </c>
      <c r="O21" s="186">
        <v>60000</v>
      </c>
      <c r="P21" s="110">
        <f>L21*N21*O21</f>
        <v>360000</v>
      </c>
      <c r="Q21" s="1503"/>
      <c r="R21" s="1503"/>
      <c r="S21" s="185" t="s">
        <v>187</v>
      </c>
    </row>
    <row r="22" spans="1:20" ht="21.75" customHeight="1">
      <c r="A22" s="198"/>
      <c r="B22" s="198"/>
      <c r="C22" s="179" t="s">
        <v>263</v>
      </c>
      <c r="D22" s="72"/>
      <c r="E22" s="72"/>
      <c r="F22" s="72"/>
      <c r="G22" s="72"/>
      <c r="H22" s="74" t="s">
        <v>103</v>
      </c>
      <c r="I22" s="123" t="s">
        <v>104</v>
      </c>
      <c r="J22" s="72"/>
      <c r="K22" s="72"/>
      <c r="L22" s="74">
        <v>4</v>
      </c>
      <c r="M22" s="74" t="s">
        <v>316</v>
      </c>
      <c r="N22" s="132">
        <v>9</v>
      </c>
      <c r="O22" s="186">
        <v>25000</v>
      </c>
      <c r="P22" s="110">
        <f>L22*N22*O22</f>
        <v>900000</v>
      </c>
      <c r="Q22" s="1503"/>
      <c r="R22" s="1503"/>
      <c r="S22" s="1596" t="s">
        <v>840</v>
      </c>
    </row>
    <row r="23" spans="1:20">
      <c r="A23" s="198"/>
      <c r="B23" s="198"/>
      <c r="C23" s="177" t="s">
        <v>112</v>
      </c>
      <c r="D23" s="118"/>
      <c r="E23" s="118"/>
      <c r="F23" s="118"/>
      <c r="G23" s="118"/>
      <c r="H23" s="118"/>
      <c r="I23" s="118"/>
      <c r="J23" s="118"/>
      <c r="K23" s="118"/>
      <c r="L23" s="119"/>
      <c r="M23" s="118"/>
      <c r="N23" s="202"/>
      <c r="O23" s="118"/>
      <c r="P23" s="201">
        <f>P24</f>
        <v>324000</v>
      </c>
      <c r="Q23" s="1502"/>
      <c r="R23" s="1502"/>
      <c r="S23" s="1597"/>
    </row>
    <row r="24" spans="1:20">
      <c r="A24" s="198"/>
      <c r="B24" s="198"/>
      <c r="C24" s="239" t="s">
        <v>232</v>
      </c>
      <c r="D24" s="141"/>
      <c r="E24" s="72"/>
      <c r="F24" s="72"/>
      <c r="G24" s="72"/>
      <c r="H24" s="74" t="s">
        <v>114</v>
      </c>
      <c r="I24" s="123" t="s">
        <v>104</v>
      </c>
      <c r="J24" s="72"/>
      <c r="K24" s="72"/>
      <c r="L24" s="74">
        <v>2</v>
      </c>
      <c r="M24" s="74" t="s">
        <v>317</v>
      </c>
      <c r="N24" s="74">
        <v>9</v>
      </c>
      <c r="O24" s="186">
        <v>18000</v>
      </c>
      <c r="P24" s="110">
        <f>L24*N24*O24</f>
        <v>324000</v>
      </c>
      <c r="Q24" s="1503"/>
      <c r="R24" s="1503"/>
      <c r="S24" s="1597"/>
    </row>
    <row r="25" spans="1:20">
      <c r="A25" s="198"/>
      <c r="B25" s="198"/>
      <c r="C25" s="240" t="s">
        <v>115</v>
      </c>
      <c r="D25" s="118"/>
      <c r="E25" s="118"/>
      <c r="F25" s="118"/>
      <c r="G25" s="118"/>
      <c r="H25" s="118"/>
      <c r="I25" s="118"/>
      <c r="J25" s="118"/>
      <c r="K25" s="118"/>
      <c r="L25" s="119"/>
      <c r="M25" s="118"/>
      <c r="N25" s="119"/>
      <c r="O25" s="118"/>
      <c r="P25" s="201">
        <f>P26+P29+P34+P38+P47+P53</f>
        <v>1346000</v>
      </c>
      <c r="Q25" s="1502"/>
      <c r="R25" s="1502"/>
      <c r="S25" s="1597"/>
    </row>
    <row r="26" spans="1:20">
      <c r="A26" s="198"/>
      <c r="B26" s="198"/>
      <c r="C26" s="241" t="s">
        <v>318</v>
      </c>
      <c r="D26" s="118"/>
      <c r="E26" s="118"/>
      <c r="F26" s="118"/>
      <c r="G26" s="118"/>
      <c r="H26" s="118"/>
      <c r="I26" s="118"/>
      <c r="J26" s="118"/>
      <c r="K26" s="118"/>
      <c r="L26" s="119"/>
      <c r="M26" s="118"/>
      <c r="N26" s="119"/>
      <c r="O26" s="118"/>
      <c r="P26" s="109">
        <f>SUM(P27:P28)</f>
        <v>91000</v>
      </c>
      <c r="Q26" s="138"/>
      <c r="R26" s="138"/>
      <c r="S26" s="1597"/>
      <c r="T26" s="178"/>
    </row>
    <row r="27" spans="1:20">
      <c r="A27" s="198"/>
      <c r="B27" s="198"/>
      <c r="C27" s="242" t="s">
        <v>319</v>
      </c>
      <c r="D27" s="72"/>
      <c r="E27" s="72"/>
      <c r="F27" s="72"/>
      <c r="G27" s="72"/>
      <c r="H27" s="72"/>
      <c r="I27" s="72"/>
      <c r="J27" s="72"/>
      <c r="K27" s="72"/>
      <c r="L27" s="186">
        <v>200</v>
      </c>
      <c r="M27" s="110"/>
      <c r="N27" s="186"/>
      <c r="O27" s="110">
        <v>5</v>
      </c>
      <c r="P27" s="110">
        <f>O27*L27</f>
        <v>1000</v>
      </c>
      <c r="Q27" s="138"/>
      <c r="R27" s="138"/>
      <c r="S27" s="1597"/>
      <c r="T27" s="178"/>
    </row>
    <row r="28" spans="1:20">
      <c r="A28" s="198"/>
      <c r="B28" s="198"/>
      <c r="C28" s="242" t="s">
        <v>320</v>
      </c>
      <c r="D28" s="72"/>
      <c r="E28" s="72"/>
      <c r="F28" s="72"/>
      <c r="G28" s="72"/>
      <c r="H28" s="72"/>
      <c r="I28" s="72"/>
      <c r="J28" s="72"/>
      <c r="K28" s="72"/>
      <c r="L28" s="186" t="s">
        <v>159</v>
      </c>
      <c r="M28" s="110"/>
      <c r="N28" s="186"/>
      <c r="O28" s="110">
        <v>90000</v>
      </c>
      <c r="P28" s="110">
        <f>O28</f>
        <v>90000</v>
      </c>
      <c r="Q28" s="138"/>
      <c r="R28" s="138"/>
      <c r="S28" s="1598"/>
      <c r="T28" s="178"/>
    </row>
    <row r="29" spans="1:20">
      <c r="A29" s="198"/>
      <c r="B29" s="198"/>
      <c r="C29" s="243" t="s">
        <v>321</v>
      </c>
      <c r="D29" s="72"/>
      <c r="E29" s="72"/>
      <c r="F29" s="72"/>
      <c r="G29" s="72"/>
      <c r="H29" s="72"/>
      <c r="I29" s="72"/>
      <c r="J29" s="72"/>
      <c r="K29" s="72"/>
      <c r="L29" s="186"/>
      <c r="M29" s="110"/>
      <c r="N29" s="186"/>
      <c r="O29" s="110"/>
      <c r="P29" s="109">
        <f>SUM(P30:P33)</f>
        <v>61000</v>
      </c>
      <c r="Q29" s="138"/>
      <c r="R29" s="138"/>
      <c r="S29" s="143"/>
      <c r="T29" s="178"/>
    </row>
    <row r="30" spans="1:20">
      <c r="A30" s="198"/>
      <c r="B30" s="198"/>
      <c r="C30" s="244" t="s">
        <v>322</v>
      </c>
      <c r="D30" s="72"/>
      <c r="E30" s="72"/>
      <c r="F30" s="72"/>
      <c r="G30" s="72"/>
      <c r="H30" s="72"/>
      <c r="I30" s="72"/>
      <c r="J30" s="72"/>
      <c r="K30" s="72"/>
      <c r="L30" s="186">
        <v>80</v>
      </c>
      <c r="M30" s="110"/>
      <c r="N30" s="186">
        <v>1</v>
      </c>
      <c r="O30" s="110">
        <v>500</v>
      </c>
      <c r="P30" s="110">
        <f>O30*N30*L30</f>
        <v>40000</v>
      </c>
      <c r="Q30" s="138"/>
      <c r="R30" s="138"/>
      <c r="S30" s="143"/>
      <c r="T30" s="178"/>
    </row>
    <row r="31" spans="1:20">
      <c r="A31" s="203"/>
      <c r="B31" s="203"/>
      <c r="C31" s="244" t="s">
        <v>323</v>
      </c>
      <c r="D31" s="72"/>
      <c r="E31" s="72"/>
      <c r="F31" s="72"/>
      <c r="G31" s="72"/>
      <c r="H31" s="72"/>
      <c r="I31" s="72"/>
      <c r="J31" s="72"/>
      <c r="K31" s="72"/>
      <c r="L31" s="186">
        <v>80</v>
      </c>
      <c r="M31" s="110"/>
      <c r="N31" s="186">
        <v>2</v>
      </c>
      <c r="O31" s="110">
        <v>50</v>
      </c>
      <c r="P31" s="110">
        <f>O31*N31*L31</f>
        <v>8000</v>
      </c>
      <c r="Q31" s="126"/>
      <c r="R31" s="126"/>
      <c r="S31" s="143"/>
    </row>
    <row r="32" spans="1:20">
      <c r="A32" s="198"/>
      <c r="B32" s="198"/>
      <c r="C32" s="1353" t="s">
        <v>324</v>
      </c>
      <c r="D32" s="170"/>
      <c r="E32" s="170"/>
      <c r="F32" s="170"/>
      <c r="G32" s="170"/>
      <c r="H32" s="170"/>
      <c r="I32" s="170"/>
      <c r="J32" s="170"/>
      <c r="K32" s="170"/>
      <c r="L32" s="1499">
        <v>80</v>
      </c>
      <c r="M32" s="200"/>
      <c r="N32" s="1499"/>
      <c r="O32" s="200">
        <v>100</v>
      </c>
      <c r="P32" s="200">
        <f>O32*L32</f>
        <v>8000</v>
      </c>
      <c r="Q32" s="1354"/>
      <c r="R32" s="1354"/>
      <c r="S32" s="1334"/>
    </row>
    <row r="33" spans="1:19">
      <c r="A33" s="198"/>
      <c r="B33" s="198"/>
      <c r="C33" s="244" t="s">
        <v>325</v>
      </c>
      <c r="D33" s="72"/>
      <c r="E33" s="72"/>
      <c r="F33" s="72"/>
      <c r="G33" s="72"/>
      <c r="H33" s="72"/>
      <c r="I33" s="72"/>
      <c r="J33" s="72"/>
      <c r="K33" s="72"/>
      <c r="L33" s="186"/>
      <c r="M33" s="110"/>
      <c r="N33" s="186"/>
      <c r="O33" s="110">
        <v>5000</v>
      </c>
      <c r="P33" s="110">
        <f>O33</f>
        <v>5000</v>
      </c>
      <c r="Q33" s="126"/>
      <c r="R33" s="126"/>
      <c r="S33" s="72"/>
    </row>
    <row r="34" spans="1:19">
      <c r="A34" s="198"/>
      <c r="B34" s="198"/>
      <c r="C34" s="241" t="s">
        <v>326</v>
      </c>
      <c r="D34" s="118"/>
      <c r="E34" s="118"/>
      <c r="F34" s="118"/>
      <c r="G34" s="118"/>
      <c r="H34" s="118"/>
      <c r="I34" s="118"/>
      <c r="J34" s="118"/>
      <c r="K34" s="118"/>
      <c r="L34" s="1450"/>
      <c r="M34" s="1451"/>
      <c r="N34" s="1450"/>
      <c r="O34" s="1500"/>
      <c r="P34" s="109">
        <f>SUM(P35:P37)</f>
        <v>602400</v>
      </c>
      <c r="Q34" s="138"/>
      <c r="R34" s="138"/>
      <c r="S34" s="72"/>
    </row>
    <row r="35" spans="1:19">
      <c r="A35" s="198"/>
      <c r="B35" s="198"/>
      <c r="C35" s="179" t="s">
        <v>327</v>
      </c>
      <c r="D35" s="72"/>
      <c r="E35" s="72"/>
      <c r="F35" s="72"/>
      <c r="G35" s="72"/>
      <c r="H35" s="72"/>
      <c r="I35" s="72"/>
      <c r="J35" s="72"/>
      <c r="K35" s="72"/>
      <c r="L35" s="186">
        <v>3</v>
      </c>
      <c r="M35" s="110"/>
      <c r="N35" s="186">
        <v>60</v>
      </c>
      <c r="O35" s="110">
        <v>1200</v>
      </c>
      <c r="P35" s="110">
        <f>O35*N35*L35</f>
        <v>216000</v>
      </c>
      <c r="Q35" s="126"/>
      <c r="R35" s="126"/>
      <c r="S35" s="72"/>
    </row>
    <row r="36" spans="1:19">
      <c r="A36" s="198"/>
      <c r="B36" s="198"/>
      <c r="C36" s="193" t="s">
        <v>328</v>
      </c>
      <c r="D36" s="72"/>
      <c r="E36" s="72"/>
      <c r="F36" s="72"/>
      <c r="G36" s="72"/>
      <c r="H36" s="72"/>
      <c r="I36" s="72"/>
      <c r="J36" s="72"/>
      <c r="K36" s="72"/>
      <c r="L36" s="186">
        <v>3</v>
      </c>
      <c r="M36" s="110"/>
      <c r="N36" s="186">
        <v>120</v>
      </c>
      <c r="O36" s="110">
        <v>240</v>
      </c>
      <c r="P36" s="110">
        <f>O36*N36*L36</f>
        <v>86400</v>
      </c>
      <c r="Q36" s="126"/>
      <c r="R36" s="126"/>
      <c r="S36" s="72"/>
    </row>
    <row r="37" spans="1:19">
      <c r="A37" s="198"/>
      <c r="B37" s="198"/>
      <c r="C37" s="179" t="s">
        <v>329</v>
      </c>
      <c r="D37" s="72"/>
      <c r="E37" s="72"/>
      <c r="F37" s="72"/>
      <c r="G37" s="72"/>
      <c r="H37" s="72"/>
      <c r="I37" s="72"/>
      <c r="J37" s="72"/>
      <c r="K37" s="72"/>
      <c r="L37" s="186"/>
      <c r="M37" s="110"/>
      <c r="N37" s="186">
        <v>120</v>
      </c>
      <c r="O37" s="110">
        <v>2500</v>
      </c>
      <c r="P37" s="110">
        <f>O37*N37</f>
        <v>300000</v>
      </c>
      <c r="Q37" s="126"/>
      <c r="R37" s="126"/>
      <c r="S37" s="72"/>
    </row>
    <row r="38" spans="1:19">
      <c r="A38" s="198"/>
      <c r="B38" s="198"/>
      <c r="C38" s="177" t="s">
        <v>330</v>
      </c>
      <c r="D38" s="118"/>
      <c r="E38" s="118"/>
      <c r="F38" s="118"/>
      <c r="G38" s="118"/>
      <c r="H38" s="118"/>
      <c r="I38" s="118"/>
      <c r="J38" s="118"/>
      <c r="K38" s="118"/>
      <c r="L38" s="1450"/>
      <c r="M38" s="1451"/>
      <c r="N38" s="1450"/>
      <c r="O38" s="1451"/>
      <c r="P38" s="109">
        <f>SUM(P39:P46)</f>
        <v>500000</v>
      </c>
      <c r="Q38" s="138"/>
      <c r="R38" s="138"/>
      <c r="S38" s="72"/>
    </row>
    <row r="39" spans="1:19">
      <c r="A39" s="198"/>
      <c r="B39" s="198"/>
      <c r="C39" s="195" t="s">
        <v>331</v>
      </c>
      <c r="D39" s="72"/>
      <c r="E39" s="72"/>
      <c r="F39" s="72"/>
      <c r="G39" s="72"/>
      <c r="H39" s="72"/>
      <c r="I39" s="72"/>
      <c r="J39" s="72"/>
      <c r="K39" s="72"/>
      <c r="L39" s="186">
        <v>100</v>
      </c>
      <c r="M39" s="110"/>
      <c r="N39" s="186">
        <v>1</v>
      </c>
      <c r="O39" s="110">
        <v>500</v>
      </c>
      <c r="P39" s="110">
        <f>O39*N39*L39</f>
        <v>50000</v>
      </c>
      <c r="Q39" s="126"/>
      <c r="R39" s="126"/>
      <c r="S39" s="72"/>
    </row>
    <row r="40" spans="1:19">
      <c r="A40" s="198"/>
      <c r="B40" s="198"/>
      <c r="C40" s="195" t="s">
        <v>332</v>
      </c>
      <c r="D40" s="72"/>
      <c r="E40" s="72"/>
      <c r="F40" s="72"/>
      <c r="G40" s="72"/>
      <c r="H40" s="72"/>
      <c r="I40" s="72"/>
      <c r="J40" s="72"/>
      <c r="K40" s="72"/>
      <c r="L40" s="186">
        <v>100</v>
      </c>
      <c r="M40" s="110"/>
      <c r="N40" s="186">
        <v>2</v>
      </c>
      <c r="O40" s="110">
        <v>50</v>
      </c>
      <c r="P40" s="110">
        <f>O40*N40*L40</f>
        <v>10000</v>
      </c>
      <c r="Q40" s="126"/>
      <c r="R40" s="126"/>
      <c r="S40" s="72"/>
    </row>
    <row r="41" spans="1:19">
      <c r="A41" s="198"/>
      <c r="B41" s="198"/>
      <c r="C41" s="195" t="s">
        <v>333</v>
      </c>
      <c r="D41" s="72"/>
      <c r="E41" s="72"/>
      <c r="F41" s="72"/>
      <c r="G41" s="72"/>
      <c r="H41" s="72"/>
      <c r="I41" s="72"/>
      <c r="J41" s="72"/>
      <c r="K41" s="72"/>
      <c r="L41" s="186">
        <v>100</v>
      </c>
      <c r="M41" s="110"/>
      <c r="N41" s="186">
        <v>1</v>
      </c>
      <c r="O41" s="110">
        <v>100</v>
      </c>
      <c r="P41" s="110">
        <f>O41*N41*L41</f>
        <v>10000</v>
      </c>
      <c r="Q41" s="126"/>
      <c r="R41" s="126"/>
      <c r="S41" s="72"/>
    </row>
    <row r="42" spans="1:19">
      <c r="A42" s="198"/>
      <c r="B42" s="198"/>
      <c r="C42" s="244" t="s">
        <v>325</v>
      </c>
      <c r="D42" s="72"/>
      <c r="E42" s="72"/>
      <c r="F42" s="72"/>
      <c r="G42" s="72"/>
      <c r="H42" s="72"/>
      <c r="I42" s="72"/>
      <c r="J42" s="72"/>
      <c r="K42" s="72"/>
      <c r="L42" s="186"/>
      <c r="M42" s="110"/>
      <c r="N42" s="186"/>
      <c r="O42" s="110">
        <v>5000</v>
      </c>
      <c r="P42" s="110">
        <f>O42</f>
        <v>5000</v>
      </c>
      <c r="Q42" s="126"/>
      <c r="R42" s="126"/>
      <c r="S42" s="72"/>
    </row>
    <row r="43" spans="1:19">
      <c r="A43" s="198"/>
      <c r="B43" s="198"/>
      <c r="C43" s="245" t="s">
        <v>334</v>
      </c>
      <c r="D43" s="72"/>
      <c r="E43" s="72"/>
      <c r="F43" s="72"/>
      <c r="G43" s="72"/>
      <c r="H43" s="72"/>
      <c r="I43" s="72"/>
      <c r="J43" s="72"/>
      <c r="K43" s="72"/>
      <c r="L43" s="186">
        <v>20</v>
      </c>
      <c r="M43" s="110"/>
      <c r="N43" s="186">
        <v>1</v>
      </c>
      <c r="O43" s="110">
        <v>500</v>
      </c>
      <c r="P43" s="110">
        <f>L43*N43*O43</f>
        <v>10000</v>
      </c>
      <c r="Q43" s="126"/>
      <c r="R43" s="126"/>
      <c r="S43" s="72"/>
    </row>
    <row r="44" spans="1:19">
      <c r="A44" s="198"/>
      <c r="B44" s="198"/>
      <c r="C44" s="245" t="s">
        <v>335</v>
      </c>
      <c r="D44" s="72"/>
      <c r="E44" s="72"/>
      <c r="F44" s="72"/>
      <c r="G44" s="72"/>
      <c r="H44" s="72"/>
      <c r="I44" s="72"/>
      <c r="J44" s="72"/>
      <c r="K44" s="72"/>
      <c r="L44" s="186">
        <v>20</v>
      </c>
      <c r="M44" s="110"/>
      <c r="N44" s="186">
        <v>1</v>
      </c>
      <c r="O44" s="110">
        <v>2000</v>
      </c>
      <c r="P44" s="110">
        <f>L44*N44*O44</f>
        <v>40000</v>
      </c>
      <c r="Q44" s="126"/>
      <c r="R44" s="126"/>
      <c r="S44" s="72"/>
    </row>
    <row r="45" spans="1:19">
      <c r="A45" s="198"/>
      <c r="B45" s="198"/>
      <c r="C45" s="244" t="s">
        <v>336</v>
      </c>
      <c r="D45" s="72"/>
      <c r="E45" s="72"/>
      <c r="F45" s="72"/>
      <c r="G45" s="72"/>
      <c r="H45" s="72"/>
      <c r="I45" s="72"/>
      <c r="J45" s="72"/>
      <c r="K45" s="72"/>
      <c r="L45" s="186">
        <v>150</v>
      </c>
      <c r="M45" s="110"/>
      <c r="N45" s="186">
        <v>1</v>
      </c>
      <c r="O45" s="110">
        <v>1500</v>
      </c>
      <c r="P45" s="110">
        <f>L45*N45*O45</f>
        <v>225000</v>
      </c>
      <c r="Q45" s="126"/>
      <c r="R45" s="126"/>
      <c r="S45" s="72"/>
    </row>
    <row r="46" spans="1:19">
      <c r="A46" s="198"/>
      <c r="B46" s="198"/>
      <c r="C46" s="245" t="s">
        <v>337</v>
      </c>
      <c r="D46" s="72"/>
      <c r="E46" s="72"/>
      <c r="F46" s="72"/>
      <c r="G46" s="72"/>
      <c r="H46" s="72"/>
      <c r="I46" s="72"/>
      <c r="J46" s="72"/>
      <c r="K46" s="72"/>
      <c r="L46" s="186">
        <v>150</v>
      </c>
      <c r="M46" s="110"/>
      <c r="N46" s="186">
        <v>1</v>
      </c>
      <c r="O46" s="110">
        <v>1000</v>
      </c>
      <c r="P46" s="110">
        <f>L46*N46*O46</f>
        <v>150000</v>
      </c>
      <c r="Q46" s="126"/>
      <c r="R46" s="126"/>
      <c r="S46" s="72"/>
    </row>
    <row r="47" spans="1:19">
      <c r="A47" s="198"/>
      <c r="B47" s="198"/>
      <c r="C47" s="246" t="s">
        <v>338</v>
      </c>
      <c r="D47" s="118"/>
      <c r="E47" s="118"/>
      <c r="F47" s="118"/>
      <c r="G47" s="118"/>
      <c r="H47" s="118"/>
      <c r="I47" s="118"/>
      <c r="J47" s="118"/>
      <c r="K47" s="118"/>
      <c r="L47" s="1450"/>
      <c r="M47" s="1451"/>
      <c r="N47" s="1450"/>
      <c r="O47" s="1451"/>
      <c r="P47" s="109">
        <f>SUM(P48:P52)</f>
        <v>87400</v>
      </c>
      <c r="Q47" s="138"/>
      <c r="R47" s="109"/>
      <c r="S47" s="72"/>
    </row>
    <row r="48" spans="1:19">
      <c r="A48" s="198"/>
      <c r="B48" s="198"/>
      <c r="C48" s="245" t="s">
        <v>339</v>
      </c>
      <c r="D48" s="72"/>
      <c r="E48" s="72"/>
      <c r="F48" s="72"/>
      <c r="G48" s="72"/>
      <c r="H48" s="72"/>
      <c r="I48" s="72"/>
      <c r="J48" s="72"/>
      <c r="K48" s="72"/>
      <c r="L48" s="186">
        <v>9</v>
      </c>
      <c r="M48" s="110"/>
      <c r="N48" s="186">
        <v>1</v>
      </c>
      <c r="O48" s="1452">
        <v>800</v>
      </c>
      <c r="P48" s="110">
        <f>O48*N48*L48</f>
        <v>7200</v>
      </c>
      <c r="Q48" s="126"/>
      <c r="R48" s="126"/>
      <c r="S48" s="72"/>
    </row>
    <row r="49" spans="1:19">
      <c r="A49" s="198"/>
      <c r="B49" s="198"/>
      <c r="C49" s="245" t="s">
        <v>340</v>
      </c>
      <c r="D49" s="72"/>
      <c r="E49" s="72"/>
      <c r="F49" s="72"/>
      <c r="G49" s="72"/>
      <c r="H49" s="72"/>
      <c r="I49" s="72"/>
      <c r="J49" s="72"/>
      <c r="K49" s="72"/>
      <c r="L49" s="186">
        <v>9</v>
      </c>
      <c r="M49" s="110"/>
      <c r="N49" s="186">
        <v>1</v>
      </c>
      <c r="O49" s="1452">
        <v>800</v>
      </c>
      <c r="P49" s="110">
        <f>O49*N49*L49</f>
        <v>7200</v>
      </c>
      <c r="Q49" s="126"/>
      <c r="R49" s="126"/>
      <c r="S49" s="72"/>
    </row>
    <row r="50" spans="1:19">
      <c r="A50" s="198"/>
      <c r="B50" s="198"/>
      <c r="C50" s="245" t="s">
        <v>341</v>
      </c>
      <c r="D50" s="72"/>
      <c r="E50" s="72"/>
      <c r="F50" s="72"/>
      <c r="G50" s="72"/>
      <c r="H50" s="72"/>
      <c r="I50" s="72"/>
      <c r="J50" s="72"/>
      <c r="K50" s="72"/>
      <c r="L50" s="186">
        <v>9</v>
      </c>
      <c r="M50" s="110"/>
      <c r="N50" s="186">
        <v>1</v>
      </c>
      <c r="O50" s="1452">
        <v>1000</v>
      </c>
      <c r="P50" s="110">
        <f>O50*N50*L50</f>
        <v>9000</v>
      </c>
      <c r="Q50" s="126"/>
      <c r="R50" s="126"/>
      <c r="S50" s="72"/>
    </row>
    <row r="51" spans="1:19">
      <c r="A51" s="198"/>
      <c r="B51" s="198"/>
      <c r="C51" s="245" t="s">
        <v>342</v>
      </c>
      <c r="D51" s="72"/>
      <c r="E51" s="72"/>
      <c r="F51" s="72"/>
      <c r="G51" s="72"/>
      <c r="H51" s="72"/>
      <c r="I51" s="72"/>
      <c r="J51" s="72"/>
      <c r="K51" s="72"/>
      <c r="L51" s="186">
        <v>20</v>
      </c>
      <c r="M51" s="110"/>
      <c r="N51" s="186">
        <v>1</v>
      </c>
      <c r="O51" s="1452">
        <v>1200</v>
      </c>
      <c r="P51" s="110">
        <f>O51*N51*L51</f>
        <v>24000</v>
      </c>
      <c r="Q51" s="126"/>
      <c r="R51" s="126"/>
      <c r="S51" s="72"/>
    </row>
    <row r="52" spans="1:19">
      <c r="A52" s="198"/>
      <c r="B52" s="198"/>
      <c r="C52" s="245" t="s">
        <v>343</v>
      </c>
      <c r="D52" s="1074"/>
      <c r="E52" s="1074"/>
      <c r="F52" s="1074"/>
      <c r="G52" s="1074"/>
      <c r="H52" s="1074"/>
      <c r="I52" s="1074"/>
      <c r="J52" s="1074"/>
      <c r="K52" s="1074"/>
      <c r="L52" s="1501">
        <v>40</v>
      </c>
      <c r="M52" s="1077"/>
      <c r="N52" s="1501">
        <v>1</v>
      </c>
      <c r="O52" s="1077">
        <v>1000</v>
      </c>
      <c r="P52" s="110">
        <f>O52*N52*L52</f>
        <v>40000</v>
      </c>
      <c r="Q52" s="138"/>
      <c r="R52" s="138"/>
      <c r="S52" s="72"/>
    </row>
    <row r="53" spans="1:19">
      <c r="A53" s="203"/>
      <c r="B53" s="203"/>
      <c r="C53" s="177" t="s">
        <v>216</v>
      </c>
      <c r="D53" s="118"/>
      <c r="E53" s="118"/>
      <c r="F53" s="118"/>
      <c r="G53" s="118"/>
      <c r="H53" s="118"/>
      <c r="I53" s="118"/>
      <c r="J53" s="118"/>
      <c r="K53" s="118"/>
      <c r="L53" s="1450"/>
      <c r="M53" s="1451"/>
      <c r="N53" s="1450"/>
      <c r="O53" s="1451"/>
      <c r="P53" s="109">
        <v>4200</v>
      </c>
      <c r="Q53" s="138"/>
      <c r="R53" s="138"/>
      <c r="S53" s="72"/>
    </row>
    <row r="54" spans="1:19" s="726" customFormat="1" ht="21" customHeight="1">
      <c r="C54" s="1346" t="s">
        <v>171</v>
      </c>
      <c r="D54" s="767" t="s">
        <v>172</v>
      </c>
      <c r="E54" s="767"/>
      <c r="F54" s="767"/>
      <c r="G54" s="766"/>
      <c r="H54" s="766"/>
      <c r="I54" s="766"/>
      <c r="J54" s="766"/>
      <c r="K54" s="766"/>
      <c r="L54" s="766"/>
      <c r="M54" s="766"/>
      <c r="N54" s="766"/>
      <c r="O54" s="766"/>
      <c r="P54" s="772"/>
      <c r="Q54" s="766"/>
    </row>
    <row r="55" spans="1:19" s="726" customFormat="1" ht="21" customHeight="1">
      <c r="D55" s="726" t="s">
        <v>466</v>
      </c>
      <c r="P55" s="712"/>
    </row>
  </sheetData>
  <mergeCells count="21">
    <mergeCell ref="S22:S28"/>
    <mergeCell ref="A1:S1"/>
    <mergeCell ref="A2:S2"/>
    <mergeCell ref="A3:C3"/>
    <mergeCell ref="A4:C4"/>
    <mergeCell ref="A6:B8"/>
    <mergeCell ref="C6:C8"/>
    <mergeCell ref="D6:E7"/>
    <mergeCell ref="F6:G7"/>
    <mergeCell ref="H6:P6"/>
    <mergeCell ref="Q6:Q8"/>
    <mergeCell ref="S17:S20"/>
    <mergeCell ref="R6:R8"/>
    <mergeCell ref="S6:S8"/>
    <mergeCell ref="H7:H8"/>
    <mergeCell ref="I7:K8"/>
    <mergeCell ref="L7:L8"/>
    <mergeCell ref="M7:M8"/>
    <mergeCell ref="N7:N8"/>
    <mergeCell ref="O7:O8"/>
    <mergeCell ref="P7:P8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  <headerFooter>
    <oddFooter>&amp;C&amp;P/2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34"/>
  <sheetViews>
    <sheetView topLeftCell="A11" zoomScaleNormal="100" zoomScaleSheetLayoutView="90" workbookViewId="0">
      <selection activeCell="H27" sqref="H27"/>
    </sheetView>
  </sheetViews>
  <sheetFormatPr defaultRowHeight="18.75"/>
  <cols>
    <col min="1" max="1" width="4.5" style="247" customWidth="1"/>
    <col min="2" max="2" width="5" style="247" customWidth="1"/>
    <col min="3" max="3" width="35.375" style="247" customWidth="1"/>
    <col min="4" max="7" width="7.625" style="247" customWidth="1"/>
    <col min="8" max="8" width="8" style="247" customWidth="1"/>
    <col min="9" max="9" width="6.625" style="247" customWidth="1"/>
    <col min="10" max="10" width="7" style="247" customWidth="1"/>
    <col min="11" max="11" width="5.25" style="247" customWidth="1"/>
    <col min="12" max="12" width="7.375" style="247" customWidth="1"/>
    <col min="13" max="13" width="8" style="247" customWidth="1"/>
    <col min="14" max="14" width="6.875" style="247" customWidth="1"/>
    <col min="15" max="15" width="9.625" style="247" customWidth="1"/>
    <col min="16" max="16" width="10.5" style="247" customWidth="1"/>
    <col min="17" max="17" width="6.625" style="247" customWidth="1"/>
    <col min="18" max="18" width="7.25" style="247" customWidth="1"/>
    <col min="19" max="19" width="22.25" style="247" customWidth="1"/>
    <col min="20" max="20" width="14.125" style="247" bestFit="1" customWidth="1"/>
    <col min="21" max="21" width="8.75" style="704" bestFit="1" customWidth="1"/>
    <col min="22" max="264" width="9" style="247"/>
    <col min="265" max="265" width="29" style="247" customWidth="1"/>
    <col min="266" max="268" width="9.25" style="247" customWidth="1"/>
    <col min="269" max="269" width="10.375" style="247" customWidth="1"/>
    <col min="270" max="270" width="9.625" style="247" customWidth="1"/>
    <col min="271" max="271" width="9.25" style="247" customWidth="1"/>
    <col min="272" max="272" width="8.375" style="247" customWidth="1"/>
    <col min="273" max="273" width="10.375" style="247" customWidth="1"/>
    <col min="274" max="274" width="14.625" style="247" customWidth="1"/>
    <col min="275" max="275" width="28.375" style="247" customWidth="1"/>
    <col min="276" max="276" width="14.125" style="247" bestFit="1" customWidth="1"/>
    <col min="277" max="277" width="8.75" style="247" bestFit="1" customWidth="1"/>
    <col min="278" max="520" width="9" style="247"/>
    <col min="521" max="521" width="29" style="247" customWidth="1"/>
    <col min="522" max="524" width="9.25" style="247" customWidth="1"/>
    <col min="525" max="525" width="10.375" style="247" customWidth="1"/>
    <col min="526" max="526" width="9.625" style="247" customWidth="1"/>
    <col min="527" max="527" width="9.25" style="247" customWidth="1"/>
    <col min="528" max="528" width="8.375" style="247" customWidth="1"/>
    <col min="529" max="529" width="10.375" style="247" customWidth="1"/>
    <col min="530" max="530" width="14.625" style="247" customWidth="1"/>
    <col min="531" max="531" width="28.375" style="247" customWidth="1"/>
    <col min="532" max="532" width="14.125" style="247" bestFit="1" customWidth="1"/>
    <col min="533" max="533" width="8.75" style="247" bestFit="1" customWidth="1"/>
    <col min="534" max="776" width="9" style="247"/>
    <col min="777" max="777" width="29" style="247" customWidth="1"/>
    <col min="778" max="780" width="9.25" style="247" customWidth="1"/>
    <col min="781" max="781" width="10.375" style="247" customWidth="1"/>
    <col min="782" max="782" width="9.625" style="247" customWidth="1"/>
    <col min="783" max="783" width="9.25" style="247" customWidth="1"/>
    <col min="784" max="784" width="8.375" style="247" customWidth="1"/>
    <col min="785" max="785" width="10.375" style="247" customWidth="1"/>
    <col min="786" max="786" width="14.625" style="247" customWidth="1"/>
    <col min="787" max="787" width="28.375" style="247" customWidth="1"/>
    <col min="788" max="788" width="14.125" style="247" bestFit="1" customWidth="1"/>
    <col min="789" max="789" width="8.75" style="247" bestFit="1" customWidth="1"/>
    <col min="790" max="1032" width="9" style="247"/>
    <col min="1033" max="1033" width="29" style="247" customWidth="1"/>
    <col min="1034" max="1036" width="9.25" style="247" customWidth="1"/>
    <col min="1037" max="1037" width="10.375" style="247" customWidth="1"/>
    <col min="1038" max="1038" width="9.625" style="247" customWidth="1"/>
    <col min="1039" max="1039" width="9.25" style="247" customWidth="1"/>
    <col min="1040" max="1040" width="8.375" style="247" customWidth="1"/>
    <col min="1041" max="1041" width="10.375" style="247" customWidth="1"/>
    <col min="1042" max="1042" width="14.625" style="247" customWidth="1"/>
    <col min="1043" max="1043" width="28.375" style="247" customWidth="1"/>
    <col min="1044" max="1044" width="14.125" style="247" bestFit="1" customWidth="1"/>
    <col min="1045" max="1045" width="8.75" style="247" bestFit="1" customWidth="1"/>
    <col min="1046" max="1288" width="9" style="247"/>
    <col min="1289" max="1289" width="29" style="247" customWidth="1"/>
    <col min="1290" max="1292" width="9.25" style="247" customWidth="1"/>
    <col min="1293" max="1293" width="10.375" style="247" customWidth="1"/>
    <col min="1294" max="1294" width="9.625" style="247" customWidth="1"/>
    <col min="1295" max="1295" width="9.25" style="247" customWidth="1"/>
    <col min="1296" max="1296" width="8.375" style="247" customWidth="1"/>
    <col min="1297" max="1297" width="10.375" style="247" customWidth="1"/>
    <col min="1298" max="1298" width="14.625" style="247" customWidth="1"/>
    <col min="1299" max="1299" width="28.375" style="247" customWidth="1"/>
    <col min="1300" max="1300" width="14.125" style="247" bestFit="1" customWidth="1"/>
    <col min="1301" max="1301" width="8.75" style="247" bestFit="1" customWidth="1"/>
    <col min="1302" max="1544" width="9" style="247"/>
    <col min="1545" max="1545" width="29" style="247" customWidth="1"/>
    <col min="1546" max="1548" width="9.25" style="247" customWidth="1"/>
    <col min="1549" max="1549" width="10.375" style="247" customWidth="1"/>
    <col min="1550" max="1550" width="9.625" style="247" customWidth="1"/>
    <col min="1551" max="1551" width="9.25" style="247" customWidth="1"/>
    <col min="1552" max="1552" width="8.375" style="247" customWidth="1"/>
    <col min="1553" max="1553" width="10.375" style="247" customWidth="1"/>
    <col min="1554" max="1554" width="14.625" style="247" customWidth="1"/>
    <col min="1555" max="1555" width="28.375" style="247" customWidth="1"/>
    <col min="1556" max="1556" width="14.125" style="247" bestFit="1" customWidth="1"/>
    <col min="1557" max="1557" width="8.75" style="247" bestFit="1" customWidth="1"/>
    <col min="1558" max="1800" width="9" style="247"/>
    <col min="1801" max="1801" width="29" style="247" customWidth="1"/>
    <col min="1802" max="1804" width="9.25" style="247" customWidth="1"/>
    <col min="1805" max="1805" width="10.375" style="247" customWidth="1"/>
    <col min="1806" max="1806" width="9.625" style="247" customWidth="1"/>
    <col min="1807" max="1807" width="9.25" style="247" customWidth="1"/>
    <col min="1808" max="1808" width="8.375" style="247" customWidth="1"/>
    <col min="1809" max="1809" width="10.375" style="247" customWidth="1"/>
    <col min="1810" max="1810" width="14.625" style="247" customWidth="1"/>
    <col min="1811" max="1811" width="28.375" style="247" customWidth="1"/>
    <col min="1812" max="1812" width="14.125" style="247" bestFit="1" customWidth="1"/>
    <col min="1813" max="1813" width="8.75" style="247" bestFit="1" customWidth="1"/>
    <col min="1814" max="2056" width="9" style="247"/>
    <col min="2057" max="2057" width="29" style="247" customWidth="1"/>
    <col min="2058" max="2060" width="9.25" style="247" customWidth="1"/>
    <col min="2061" max="2061" width="10.375" style="247" customWidth="1"/>
    <col min="2062" max="2062" width="9.625" style="247" customWidth="1"/>
    <col min="2063" max="2063" width="9.25" style="247" customWidth="1"/>
    <col min="2064" max="2064" width="8.375" style="247" customWidth="1"/>
    <col min="2065" max="2065" width="10.375" style="247" customWidth="1"/>
    <col min="2066" max="2066" width="14.625" style="247" customWidth="1"/>
    <col min="2067" max="2067" width="28.375" style="247" customWidth="1"/>
    <col min="2068" max="2068" width="14.125" style="247" bestFit="1" customWidth="1"/>
    <col min="2069" max="2069" width="8.75" style="247" bestFit="1" customWidth="1"/>
    <col min="2070" max="2312" width="9" style="247"/>
    <col min="2313" max="2313" width="29" style="247" customWidth="1"/>
    <col min="2314" max="2316" width="9.25" style="247" customWidth="1"/>
    <col min="2317" max="2317" width="10.375" style="247" customWidth="1"/>
    <col min="2318" max="2318" width="9.625" style="247" customWidth="1"/>
    <col min="2319" max="2319" width="9.25" style="247" customWidth="1"/>
    <col min="2320" max="2320" width="8.375" style="247" customWidth="1"/>
    <col min="2321" max="2321" width="10.375" style="247" customWidth="1"/>
    <col min="2322" max="2322" width="14.625" style="247" customWidth="1"/>
    <col min="2323" max="2323" width="28.375" style="247" customWidth="1"/>
    <col min="2324" max="2324" width="14.125" style="247" bestFit="1" customWidth="1"/>
    <col min="2325" max="2325" width="8.75" style="247" bestFit="1" customWidth="1"/>
    <col min="2326" max="2568" width="9" style="247"/>
    <col min="2569" max="2569" width="29" style="247" customWidth="1"/>
    <col min="2570" max="2572" width="9.25" style="247" customWidth="1"/>
    <col min="2573" max="2573" width="10.375" style="247" customWidth="1"/>
    <col min="2574" max="2574" width="9.625" style="247" customWidth="1"/>
    <col min="2575" max="2575" width="9.25" style="247" customWidth="1"/>
    <col min="2576" max="2576" width="8.375" style="247" customWidth="1"/>
    <col min="2577" max="2577" width="10.375" style="247" customWidth="1"/>
    <col min="2578" max="2578" width="14.625" style="247" customWidth="1"/>
    <col min="2579" max="2579" width="28.375" style="247" customWidth="1"/>
    <col min="2580" max="2580" width="14.125" style="247" bestFit="1" customWidth="1"/>
    <col min="2581" max="2581" width="8.75" style="247" bestFit="1" customWidth="1"/>
    <col min="2582" max="2824" width="9" style="247"/>
    <col min="2825" max="2825" width="29" style="247" customWidth="1"/>
    <col min="2826" max="2828" width="9.25" style="247" customWidth="1"/>
    <col min="2829" max="2829" width="10.375" style="247" customWidth="1"/>
    <col min="2830" max="2830" width="9.625" style="247" customWidth="1"/>
    <col min="2831" max="2831" width="9.25" style="247" customWidth="1"/>
    <col min="2832" max="2832" width="8.375" style="247" customWidth="1"/>
    <col min="2833" max="2833" width="10.375" style="247" customWidth="1"/>
    <col min="2834" max="2834" width="14.625" style="247" customWidth="1"/>
    <col min="2835" max="2835" width="28.375" style="247" customWidth="1"/>
    <col min="2836" max="2836" width="14.125" style="247" bestFit="1" customWidth="1"/>
    <col min="2837" max="2837" width="8.75" style="247" bestFit="1" customWidth="1"/>
    <col min="2838" max="3080" width="9" style="247"/>
    <col min="3081" max="3081" width="29" style="247" customWidth="1"/>
    <col min="3082" max="3084" width="9.25" style="247" customWidth="1"/>
    <col min="3085" max="3085" width="10.375" style="247" customWidth="1"/>
    <col min="3086" max="3086" width="9.625" style="247" customWidth="1"/>
    <col min="3087" max="3087" width="9.25" style="247" customWidth="1"/>
    <col min="3088" max="3088" width="8.375" style="247" customWidth="1"/>
    <col min="3089" max="3089" width="10.375" style="247" customWidth="1"/>
    <col min="3090" max="3090" width="14.625" style="247" customWidth="1"/>
    <col min="3091" max="3091" width="28.375" style="247" customWidth="1"/>
    <col min="3092" max="3092" width="14.125" style="247" bestFit="1" customWidth="1"/>
    <col min="3093" max="3093" width="8.75" style="247" bestFit="1" customWidth="1"/>
    <col min="3094" max="3336" width="9" style="247"/>
    <col min="3337" max="3337" width="29" style="247" customWidth="1"/>
    <col min="3338" max="3340" width="9.25" style="247" customWidth="1"/>
    <col min="3341" max="3341" width="10.375" style="247" customWidth="1"/>
    <col min="3342" max="3342" width="9.625" style="247" customWidth="1"/>
    <col min="3343" max="3343" width="9.25" style="247" customWidth="1"/>
    <col min="3344" max="3344" width="8.375" style="247" customWidth="1"/>
    <col min="3345" max="3345" width="10.375" style="247" customWidth="1"/>
    <col min="3346" max="3346" width="14.625" style="247" customWidth="1"/>
    <col min="3347" max="3347" width="28.375" style="247" customWidth="1"/>
    <col min="3348" max="3348" width="14.125" style="247" bestFit="1" customWidth="1"/>
    <col min="3349" max="3349" width="8.75" style="247" bestFit="1" customWidth="1"/>
    <col min="3350" max="3592" width="9" style="247"/>
    <col min="3593" max="3593" width="29" style="247" customWidth="1"/>
    <col min="3594" max="3596" width="9.25" style="247" customWidth="1"/>
    <col min="3597" max="3597" width="10.375" style="247" customWidth="1"/>
    <col min="3598" max="3598" width="9.625" style="247" customWidth="1"/>
    <col min="3599" max="3599" width="9.25" style="247" customWidth="1"/>
    <col min="3600" max="3600" width="8.375" style="247" customWidth="1"/>
    <col min="3601" max="3601" width="10.375" style="247" customWidth="1"/>
    <col min="3602" max="3602" width="14.625" style="247" customWidth="1"/>
    <col min="3603" max="3603" width="28.375" style="247" customWidth="1"/>
    <col min="3604" max="3604" width="14.125" style="247" bestFit="1" customWidth="1"/>
    <col min="3605" max="3605" width="8.75" style="247" bestFit="1" customWidth="1"/>
    <col min="3606" max="3848" width="9" style="247"/>
    <col min="3849" max="3849" width="29" style="247" customWidth="1"/>
    <col min="3850" max="3852" width="9.25" style="247" customWidth="1"/>
    <col min="3853" max="3853" width="10.375" style="247" customWidth="1"/>
    <col min="3854" max="3854" width="9.625" style="247" customWidth="1"/>
    <col min="3855" max="3855" width="9.25" style="247" customWidth="1"/>
    <col min="3856" max="3856" width="8.375" style="247" customWidth="1"/>
    <col min="3857" max="3857" width="10.375" style="247" customWidth="1"/>
    <col min="3858" max="3858" width="14.625" style="247" customWidth="1"/>
    <col min="3859" max="3859" width="28.375" style="247" customWidth="1"/>
    <col min="3860" max="3860" width="14.125" style="247" bestFit="1" customWidth="1"/>
    <col min="3861" max="3861" width="8.75" style="247" bestFit="1" customWidth="1"/>
    <col min="3862" max="4104" width="9" style="247"/>
    <col min="4105" max="4105" width="29" style="247" customWidth="1"/>
    <col min="4106" max="4108" width="9.25" style="247" customWidth="1"/>
    <col min="4109" max="4109" width="10.375" style="247" customWidth="1"/>
    <col min="4110" max="4110" width="9.625" style="247" customWidth="1"/>
    <col min="4111" max="4111" width="9.25" style="247" customWidth="1"/>
    <col min="4112" max="4112" width="8.375" style="247" customWidth="1"/>
    <col min="4113" max="4113" width="10.375" style="247" customWidth="1"/>
    <col min="4114" max="4114" width="14.625" style="247" customWidth="1"/>
    <col min="4115" max="4115" width="28.375" style="247" customWidth="1"/>
    <col min="4116" max="4116" width="14.125" style="247" bestFit="1" customWidth="1"/>
    <col min="4117" max="4117" width="8.75" style="247" bestFit="1" customWidth="1"/>
    <col min="4118" max="4360" width="9" style="247"/>
    <col min="4361" max="4361" width="29" style="247" customWidth="1"/>
    <col min="4362" max="4364" width="9.25" style="247" customWidth="1"/>
    <col min="4365" max="4365" width="10.375" style="247" customWidth="1"/>
    <col min="4366" max="4366" width="9.625" style="247" customWidth="1"/>
    <col min="4367" max="4367" width="9.25" style="247" customWidth="1"/>
    <col min="4368" max="4368" width="8.375" style="247" customWidth="1"/>
    <col min="4369" max="4369" width="10.375" style="247" customWidth="1"/>
    <col min="4370" max="4370" width="14.625" style="247" customWidth="1"/>
    <col min="4371" max="4371" width="28.375" style="247" customWidth="1"/>
    <col min="4372" max="4372" width="14.125" style="247" bestFit="1" customWidth="1"/>
    <col min="4373" max="4373" width="8.75" style="247" bestFit="1" customWidth="1"/>
    <col min="4374" max="4616" width="9" style="247"/>
    <col min="4617" max="4617" width="29" style="247" customWidth="1"/>
    <col min="4618" max="4620" width="9.25" style="247" customWidth="1"/>
    <col min="4621" max="4621" width="10.375" style="247" customWidth="1"/>
    <col min="4622" max="4622" width="9.625" style="247" customWidth="1"/>
    <col min="4623" max="4623" width="9.25" style="247" customWidth="1"/>
    <col min="4624" max="4624" width="8.375" style="247" customWidth="1"/>
    <col min="4625" max="4625" width="10.375" style="247" customWidth="1"/>
    <col min="4626" max="4626" width="14.625" style="247" customWidth="1"/>
    <col min="4627" max="4627" width="28.375" style="247" customWidth="1"/>
    <col min="4628" max="4628" width="14.125" style="247" bestFit="1" customWidth="1"/>
    <col min="4629" max="4629" width="8.75" style="247" bestFit="1" customWidth="1"/>
    <col min="4630" max="4872" width="9" style="247"/>
    <col min="4873" max="4873" width="29" style="247" customWidth="1"/>
    <col min="4874" max="4876" width="9.25" style="247" customWidth="1"/>
    <col min="4877" max="4877" width="10.375" style="247" customWidth="1"/>
    <col min="4878" max="4878" width="9.625" style="247" customWidth="1"/>
    <col min="4879" max="4879" width="9.25" style="247" customWidth="1"/>
    <col min="4880" max="4880" width="8.375" style="247" customWidth="1"/>
    <col min="4881" max="4881" width="10.375" style="247" customWidth="1"/>
    <col min="4882" max="4882" width="14.625" style="247" customWidth="1"/>
    <col min="4883" max="4883" width="28.375" style="247" customWidth="1"/>
    <col min="4884" max="4884" width="14.125" style="247" bestFit="1" customWidth="1"/>
    <col min="4885" max="4885" width="8.75" style="247" bestFit="1" customWidth="1"/>
    <col min="4886" max="5128" width="9" style="247"/>
    <col min="5129" max="5129" width="29" style="247" customWidth="1"/>
    <col min="5130" max="5132" width="9.25" style="247" customWidth="1"/>
    <col min="5133" max="5133" width="10.375" style="247" customWidth="1"/>
    <col min="5134" max="5134" width="9.625" style="247" customWidth="1"/>
    <col min="5135" max="5135" width="9.25" style="247" customWidth="1"/>
    <col min="5136" max="5136" width="8.375" style="247" customWidth="1"/>
    <col min="5137" max="5137" width="10.375" style="247" customWidth="1"/>
    <col min="5138" max="5138" width="14.625" style="247" customWidth="1"/>
    <col min="5139" max="5139" width="28.375" style="247" customWidth="1"/>
    <col min="5140" max="5140" width="14.125" style="247" bestFit="1" customWidth="1"/>
    <col min="5141" max="5141" width="8.75" style="247" bestFit="1" customWidth="1"/>
    <col min="5142" max="5384" width="9" style="247"/>
    <col min="5385" max="5385" width="29" style="247" customWidth="1"/>
    <col min="5386" max="5388" width="9.25" style="247" customWidth="1"/>
    <col min="5389" max="5389" width="10.375" style="247" customWidth="1"/>
    <col min="5390" max="5390" width="9.625" style="247" customWidth="1"/>
    <col min="5391" max="5391" width="9.25" style="247" customWidth="1"/>
    <col min="5392" max="5392" width="8.375" style="247" customWidth="1"/>
    <col min="5393" max="5393" width="10.375" style="247" customWidth="1"/>
    <col min="5394" max="5394" width="14.625" style="247" customWidth="1"/>
    <col min="5395" max="5395" width="28.375" style="247" customWidth="1"/>
    <col min="5396" max="5396" width="14.125" style="247" bestFit="1" customWidth="1"/>
    <col min="5397" max="5397" width="8.75" style="247" bestFit="1" customWidth="1"/>
    <col min="5398" max="5640" width="9" style="247"/>
    <col min="5641" max="5641" width="29" style="247" customWidth="1"/>
    <col min="5642" max="5644" width="9.25" style="247" customWidth="1"/>
    <col min="5645" max="5645" width="10.375" style="247" customWidth="1"/>
    <col min="5646" max="5646" width="9.625" style="247" customWidth="1"/>
    <col min="5647" max="5647" width="9.25" style="247" customWidth="1"/>
    <col min="5648" max="5648" width="8.375" style="247" customWidth="1"/>
    <col min="5649" max="5649" width="10.375" style="247" customWidth="1"/>
    <col min="5650" max="5650" width="14.625" style="247" customWidth="1"/>
    <col min="5651" max="5651" width="28.375" style="247" customWidth="1"/>
    <col min="5652" max="5652" width="14.125" style="247" bestFit="1" customWidth="1"/>
    <col min="5653" max="5653" width="8.75" style="247" bestFit="1" customWidth="1"/>
    <col min="5654" max="5896" width="9" style="247"/>
    <col min="5897" max="5897" width="29" style="247" customWidth="1"/>
    <col min="5898" max="5900" width="9.25" style="247" customWidth="1"/>
    <col min="5901" max="5901" width="10.375" style="247" customWidth="1"/>
    <col min="5902" max="5902" width="9.625" style="247" customWidth="1"/>
    <col min="5903" max="5903" width="9.25" style="247" customWidth="1"/>
    <col min="5904" max="5904" width="8.375" style="247" customWidth="1"/>
    <col min="5905" max="5905" width="10.375" style="247" customWidth="1"/>
    <col min="5906" max="5906" width="14.625" style="247" customWidth="1"/>
    <col min="5907" max="5907" width="28.375" style="247" customWidth="1"/>
    <col min="5908" max="5908" width="14.125" style="247" bestFit="1" customWidth="1"/>
    <col min="5909" max="5909" width="8.75" style="247" bestFit="1" customWidth="1"/>
    <col min="5910" max="6152" width="9" style="247"/>
    <col min="6153" max="6153" width="29" style="247" customWidth="1"/>
    <col min="6154" max="6156" width="9.25" style="247" customWidth="1"/>
    <col min="6157" max="6157" width="10.375" style="247" customWidth="1"/>
    <col min="6158" max="6158" width="9.625" style="247" customWidth="1"/>
    <col min="6159" max="6159" width="9.25" style="247" customWidth="1"/>
    <col min="6160" max="6160" width="8.375" style="247" customWidth="1"/>
    <col min="6161" max="6161" width="10.375" style="247" customWidth="1"/>
    <col min="6162" max="6162" width="14.625" style="247" customWidth="1"/>
    <col min="6163" max="6163" width="28.375" style="247" customWidth="1"/>
    <col min="6164" max="6164" width="14.125" style="247" bestFit="1" customWidth="1"/>
    <col min="6165" max="6165" width="8.75" style="247" bestFit="1" customWidth="1"/>
    <col min="6166" max="6408" width="9" style="247"/>
    <col min="6409" max="6409" width="29" style="247" customWidth="1"/>
    <col min="6410" max="6412" width="9.25" style="247" customWidth="1"/>
    <col min="6413" max="6413" width="10.375" style="247" customWidth="1"/>
    <col min="6414" max="6414" width="9.625" style="247" customWidth="1"/>
    <col min="6415" max="6415" width="9.25" style="247" customWidth="1"/>
    <col min="6416" max="6416" width="8.375" style="247" customWidth="1"/>
    <col min="6417" max="6417" width="10.375" style="247" customWidth="1"/>
    <col min="6418" max="6418" width="14.625" style="247" customWidth="1"/>
    <col min="6419" max="6419" width="28.375" style="247" customWidth="1"/>
    <col min="6420" max="6420" width="14.125" style="247" bestFit="1" customWidth="1"/>
    <col min="6421" max="6421" width="8.75" style="247" bestFit="1" customWidth="1"/>
    <col min="6422" max="6664" width="9" style="247"/>
    <col min="6665" max="6665" width="29" style="247" customWidth="1"/>
    <col min="6666" max="6668" width="9.25" style="247" customWidth="1"/>
    <col min="6669" max="6669" width="10.375" style="247" customWidth="1"/>
    <col min="6670" max="6670" width="9.625" style="247" customWidth="1"/>
    <col min="6671" max="6671" width="9.25" style="247" customWidth="1"/>
    <col min="6672" max="6672" width="8.375" style="247" customWidth="1"/>
    <col min="6673" max="6673" width="10.375" style="247" customWidth="1"/>
    <col min="6674" max="6674" width="14.625" style="247" customWidth="1"/>
    <col min="6675" max="6675" width="28.375" style="247" customWidth="1"/>
    <col min="6676" max="6676" width="14.125" style="247" bestFit="1" customWidth="1"/>
    <col min="6677" max="6677" width="8.75" style="247" bestFit="1" customWidth="1"/>
    <col min="6678" max="6920" width="9" style="247"/>
    <col min="6921" max="6921" width="29" style="247" customWidth="1"/>
    <col min="6922" max="6924" width="9.25" style="247" customWidth="1"/>
    <col min="6925" max="6925" width="10.375" style="247" customWidth="1"/>
    <col min="6926" max="6926" width="9.625" style="247" customWidth="1"/>
    <col min="6927" max="6927" width="9.25" style="247" customWidth="1"/>
    <col min="6928" max="6928" width="8.375" style="247" customWidth="1"/>
    <col min="6929" max="6929" width="10.375" style="247" customWidth="1"/>
    <col min="6930" max="6930" width="14.625" style="247" customWidth="1"/>
    <col min="6931" max="6931" width="28.375" style="247" customWidth="1"/>
    <col min="6932" max="6932" width="14.125" style="247" bestFit="1" customWidth="1"/>
    <col min="6933" max="6933" width="8.75" style="247" bestFit="1" customWidth="1"/>
    <col min="6934" max="7176" width="9" style="247"/>
    <col min="7177" max="7177" width="29" style="247" customWidth="1"/>
    <col min="7178" max="7180" width="9.25" style="247" customWidth="1"/>
    <col min="7181" max="7181" width="10.375" style="247" customWidth="1"/>
    <col min="7182" max="7182" width="9.625" style="247" customWidth="1"/>
    <col min="7183" max="7183" width="9.25" style="247" customWidth="1"/>
    <col min="7184" max="7184" width="8.375" style="247" customWidth="1"/>
    <col min="7185" max="7185" width="10.375" style="247" customWidth="1"/>
    <col min="7186" max="7186" width="14.625" style="247" customWidth="1"/>
    <col min="7187" max="7187" width="28.375" style="247" customWidth="1"/>
    <col min="7188" max="7188" width="14.125" style="247" bestFit="1" customWidth="1"/>
    <col min="7189" max="7189" width="8.75" style="247" bestFit="1" customWidth="1"/>
    <col min="7190" max="7432" width="9" style="247"/>
    <col min="7433" max="7433" width="29" style="247" customWidth="1"/>
    <col min="7434" max="7436" width="9.25" style="247" customWidth="1"/>
    <col min="7437" max="7437" width="10.375" style="247" customWidth="1"/>
    <col min="7438" max="7438" width="9.625" style="247" customWidth="1"/>
    <col min="7439" max="7439" width="9.25" style="247" customWidth="1"/>
    <col min="7440" max="7440" width="8.375" style="247" customWidth="1"/>
    <col min="7441" max="7441" width="10.375" style="247" customWidth="1"/>
    <col min="7442" max="7442" width="14.625" style="247" customWidth="1"/>
    <col min="7443" max="7443" width="28.375" style="247" customWidth="1"/>
    <col min="7444" max="7444" width="14.125" style="247" bestFit="1" customWidth="1"/>
    <col min="7445" max="7445" width="8.75" style="247" bestFit="1" customWidth="1"/>
    <col min="7446" max="7688" width="9" style="247"/>
    <col min="7689" max="7689" width="29" style="247" customWidth="1"/>
    <col min="7690" max="7692" width="9.25" style="247" customWidth="1"/>
    <col min="7693" max="7693" width="10.375" style="247" customWidth="1"/>
    <col min="7694" max="7694" width="9.625" style="247" customWidth="1"/>
    <col min="7695" max="7695" width="9.25" style="247" customWidth="1"/>
    <col min="7696" max="7696" width="8.375" style="247" customWidth="1"/>
    <col min="7697" max="7697" width="10.375" style="247" customWidth="1"/>
    <col min="7698" max="7698" width="14.625" style="247" customWidth="1"/>
    <col min="7699" max="7699" width="28.375" style="247" customWidth="1"/>
    <col min="7700" max="7700" width="14.125" style="247" bestFit="1" customWidth="1"/>
    <col min="7701" max="7701" width="8.75" style="247" bestFit="1" customWidth="1"/>
    <col min="7702" max="7944" width="9" style="247"/>
    <col min="7945" max="7945" width="29" style="247" customWidth="1"/>
    <col min="7946" max="7948" width="9.25" style="247" customWidth="1"/>
    <col min="7949" max="7949" width="10.375" style="247" customWidth="1"/>
    <col min="7950" max="7950" width="9.625" style="247" customWidth="1"/>
    <col min="7951" max="7951" width="9.25" style="247" customWidth="1"/>
    <col min="7952" max="7952" width="8.375" style="247" customWidth="1"/>
    <col min="7953" max="7953" width="10.375" style="247" customWidth="1"/>
    <col min="7954" max="7954" width="14.625" style="247" customWidth="1"/>
    <col min="7955" max="7955" width="28.375" style="247" customWidth="1"/>
    <col min="7956" max="7956" width="14.125" style="247" bestFit="1" customWidth="1"/>
    <col min="7957" max="7957" width="8.75" style="247" bestFit="1" customWidth="1"/>
    <col min="7958" max="8200" width="9" style="247"/>
    <col min="8201" max="8201" width="29" style="247" customWidth="1"/>
    <col min="8202" max="8204" width="9.25" style="247" customWidth="1"/>
    <col min="8205" max="8205" width="10.375" style="247" customWidth="1"/>
    <col min="8206" max="8206" width="9.625" style="247" customWidth="1"/>
    <col min="8207" max="8207" width="9.25" style="247" customWidth="1"/>
    <col min="8208" max="8208" width="8.375" style="247" customWidth="1"/>
    <col min="8209" max="8209" width="10.375" style="247" customWidth="1"/>
    <col min="8210" max="8210" width="14.625" style="247" customWidth="1"/>
    <col min="8211" max="8211" width="28.375" style="247" customWidth="1"/>
    <col min="8212" max="8212" width="14.125" style="247" bestFit="1" customWidth="1"/>
    <col min="8213" max="8213" width="8.75" style="247" bestFit="1" customWidth="1"/>
    <col min="8214" max="8456" width="9" style="247"/>
    <col min="8457" max="8457" width="29" style="247" customWidth="1"/>
    <col min="8458" max="8460" width="9.25" style="247" customWidth="1"/>
    <col min="8461" max="8461" width="10.375" style="247" customWidth="1"/>
    <col min="8462" max="8462" width="9.625" style="247" customWidth="1"/>
    <col min="8463" max="8463" width="9.25" style="247" customWidth="1"/>
    <col min="8464" max="8464" width="8.375" style="247" customWidth="1"/>
    <col min="8465" max="8465" width="10.375" style="247" customWidth="1"/>
    <col min="8466" max="8466" width="14.625" style="247" customWidth="1"/>
    <col min="8467" max="8467" width="28.375" style="247" customWidth="1"/>
    <col min="8468" max="8468" width="14.125" style="247" bestFit="1" customWidth="1"/>
    <col min="8469" max="8469" width="8.75" style="247" bestFit="1" customWidth="1"/>
    <col min="8470" max="8712" width="9" style="247"/>
    <col min="8713" max="8713" width="29" style="247" customWidth="1"/>
    <col min="8714" max="8716" width="9.25" style="247" customWidth="1"/>
    <col min="8717" max="8717" width="10.375" style="247" customWidth="1"/>
    <col min="8718" max="8718" width="9.625" style="247" customWidth="1"/>
    <col min="8719" max="8719" width="9.25" style="247" customWidth="1"/>
    <col min="8720" max="8720" width="8.375" style="247" customWidth="1"/>
    <col min="8721" max="8721" width="10.375" style="247" customWidth="1"/>
    <col min="8722" max="8722" width="14.625" style="247" customWidth="1"/>
    <col min="8723" max="8723" width="28.375" style="247" customWidth="1"/>
    <col min="8724" max="8724" width="14.125" style="247" bestFit="1" customWidth="1"/>
    <col min="8725" max="8725" width="8.75" style="247" bestFit="1" customWidth="1"/>
    <col min="8726" max="8968" width="9" style="247"/>
    <col min="8969" max="8969" width="29" style="247" customWidth="1"/>
    <col min="8970" max="8972" width="9.25" style="247" customWidth="1"/>
    <col min="8973" max="8973" width="10.375" style="247" customWidth="1"/>
    <col min="8974" max="8974" width="9.625" style="247" customWidth="1"/>
    <col min="8975" max="8975" width="9.25" style="247" customWidth="1"/>
    <col min="8976" max="8976" width="8.375" style="247" customWidth="1"/>
    <col min="8977" max="8977" width="10.375" style="247" customWidth="1"/>
    <col min="8978" max="8978" width="14.625" style="247" customWidth="1"/>
    <col min="8979" max="8979" width="28.375" style="247" customWidth="1"/>
    <col min="8980" max="8980" width="14.125" style="247" bestFit="1" customWidth="1"/>
    <col min="8981" max="8981" width="8.75" style="247" bestFit="1" customWidth="1"/>
    <col min="8982" max="9224" width="9" style="247"/>
    <col min="9225" max="9225" width="29" style="247" customWidth="1"/>
    <col min="9226" max="9228" width="9.25" style="247" customWidth="1"/>
    <col min="9229" max="9229" width="10.375" style="247" customWidth="1"/>
    <col min="9230" max="9230" width="9.625" style="247" customWidth="1"/>
    <col min="9231" max="9231" width="9.25" style="247" customWidth="1"/>
    <col min="9232" max="9232" width="8.375" style="247" customWidth="1"/>
    <col min="9233" max="9233" width="10.375" style="247" customWidth="1"/>
    <col min="9234" max="9234" width="14.625" style="247" customWidth="1"/>
    <col min="9235" max="9235" width="28.375" style="247" customWidth="1"/>
    <col min="9236" max="9236" width="14.125" style="247" bestFit="1" customWidth="1"/>
    <col min="9237" max="9237" width="8.75" style="247" bestFit="1" customWidth="1"/>
    <col min="9238" max="9480" width="9" style="247"/>
    <col min="9481" max="9481" width="29" style="247" customWidth="1"/>
    <col min="9482" max="9484" width="9.25" style="247" customWidth="1"/>
    <col min="9485" max="9485" width="10.375" style="247" customWidth="1"/>
    <col min="9486" max="9486" width="9.625" style="247" customWidth="1"/>
    <col min="9487" max="9487" width="9.25" style="247" customWidth="1"/>
    <col min="9488" max="9488" width="8.375" style="247" customWidth="1"/>
    <col min="9489" max="9489" width="10.375" style="247" customWidth="1"/>
    <col min="9490" max="9490" width="14.625" style="247" customWidth="1"/>
    <col min="9491" max="9491" width="28.375" style="247" customWidth="1"/>
    <col min="9492" max="9492" width="14.125" style="247" bestFit="1" customWidth="1"/>
    <col min="9493" max="9493" width="8.75" style="247" bestFit="1" customWidth="1"/>
    <col min="9494" max="9736" width="9" style="247"/>
    <col min="9737" max="9737" width="29" style="247" customWidth="1"/>
    <col min="9738" max="9740" width="9.25" style="247" customWidth="1"/>
    <col min="9741" max="9741" width="10.375" style="247" customWidth="1"/>
    <col min="9742" max="9742" width="9.625" style="247" customWidth="1"/>
    <col min="9743" max="9743" width="9.25" style="247" customWidth="1"/>
    <col min="9744" max="9744" width="8.375" style="247" customWidth="1"/>
    <col min="9745" max="9745" width="10.375" style="247" customWidth="1"/>
    <col min="9746" max="9746" width="14.625" style="247" customWidth="1"/>
    <col min="9747" max="9747" width="28.375" style="247" customWidth="1"/>
    <col min="9748" max="9748" width="14.125" style="247" bestFit="1" customWidth="1"/>
    <col min="9749" max="9749" width="8.75" style="247" bestFit="1" customWidth="1"/>
    <col min="9750" max="9992" width="9" style="247"/>
    <col min="9993" max="9993" width="29" style="247" customWidth="1"/>
    <col min="9994" max="9996" width="9.25" style="247" customWidth="1"/>
    <col min="9997" max="9997" width="10.375" style="247" customWidth="1"/>
    <col min="9998" max="9998" width="9.625" style="247" customWidth="1"/>
    <col min="9999" max="9999" width="9.25" style="247" customWidth="1"/>
    <col min="10000" max="10000" width="8.375" style="247" customWidth="1"/>
    <col min="10001" max="10001" width="10.375" style="247" customWidth="1"/>
    <col min="10002" max="10002" width="14.625" style="247" customWidth="1"/>
    <col min="10003" max="10003" width="28.375" style="247" customWidth="1"/>
    <col min="10004" max="10004" width="14.125" style="247" bestFit="1" customWidth="1"/>
    <col min="10005" max="10005" width="8.75" style="247" bestFit="1" customWidth="1"/>
    <col min="10006" max="10248" width="9" style="247"/>
    <col min="10249" max="10249" width="29" style="247" customWidth="1"/>
    <col min="10250" max="10252" width="9.25" style="247" customWidth="1"/>
    <col min="10253" max="10253" width="10.375" style="247" customWidth="1"/>
    <col min="10254" max="10254" width="9.625" style="247" customWidth="1"/>
    <col min="10255" max="10255" width="9.25" style="247" customWidth="1"/>
    <col min="10256" max="10256" width="8.375" style="247" customWidth="1"/>
    <col min="10257" max="10257" width="10.375" style="247" customWidth="1"/>
    <col min="10258" max="10258" width="14.625" style="247" customWidth="1"/>
    <col min="10259" max="10259" width="28.375" style="247" customWidth="1"/>
    <col min="10260" max="10260" width="14.125" style="247" bestFit="1" customWidth="1"/>
    <col min="10261" max="10261" width="8.75" style="247" bestFit="1" customWidth="1"/>
    <col min="10262" max="10504" width="9" style="247"/>
    <col min="10505" max="10505" width="29" style="247" customWidth="1"/>
    <col min="10506" max="10508" width="9.25" style="247" customWidth="1"/>
    <col min="10509" max="10509" width="10.375" style="247" customWidth="1"/>
    <col min="10510" max="10510" width="9.625" style="247" customWidth="1"/>
    <col min="10511" max="10511" width="9.25" style="247" customWidth="1"/>
    <col min="10512" max="10512" width="8.375" style="247" customWidth="1"/>
    <col min="10513" max="10513" width="10.375" style="247" customWidth="1"/>
    <col min="10514" max="10514" width="14.625" style="247" customWidth="1"/>
    <col min="10515" max="10515" width="28.375" style="247" customWidth="1"/>
    <col min="10516" max="10516" width="14.125" style="247" bestFit="1" customWidth="1"/>
    <col min="10517" max="10517" width="8.75" style="247" bestFit="1" customWidth="1"/>
    <col min="10518" max="10760" width="9" style="247"/>
    <col min="10761" max="10761" width="29" style="247" customWidth="1"/>
    <col min="10762" max="10764" width="9.25" style="247" customWidth="1"/>
    <col min="10765" max="10765" width="10.375" style="247" customWidth="1"/>
    <col min="10766" max="10766" width="9.625" style="247" customWidth="1"/>
    <col min="10767" max="10767" width="9.25" style="247" customWidth="1"/>
    <col min="10768" max="10768" width="8.375" style="247" customWidth="1"/>
    <col min="10769" max="10769" width="10.375" style="247" customWidth="1"/>
    <col min="10770" max="10770" width="14.625" style="247" customWidth="1"/>
    <col min="10771" max="10771" width="28.375" style="247" customWidth="1"/>
    <col min="10772" max="10772" width="14.125" style="247" bestFit="1" customWidth="1"/>
    <col min="10773" max="10773" width="8.75" style="247" bestFit="1" customWidth="1"/>
    <col min="10774" max="11016" width="9" style="247"/>
    <col min="11017" max="11017" width="29" style="247" customWidth="1"/>
    <col min="11018" max="11020" width="9.25" style="247" customWidth="1"/>
    <col min="11021" max="11021" width="10.375" style="247" customWidth="1"/>
    <col min="11022" max="11022" width="9.625" style="247" customWidth="1"/>
    <col min="11023" max="11023" width="9.25" style="247" customWidth="1"/>
    <col min="11024" max="11024" width="8.375" style="247" customWidth="1"/>
    <col min="11025" max="11025" width="10.375" style="247" customWidth="1"/>
    <col min="11026" max="11026" width="14.625" style="247" customWidth="1"/>
    <col min="11027" max="11027" width="28.375" style="247" customWidth="1"/>
    <col min="11028" max="11028" width="14.125" style="247" bestFit="1" customWidth="1"/>
    <col min="11029" max="11029" width="8.75" style="247" bestFit="1" customWidth="1"/>
    <col min="11030" max="11272" width="9" style="247"/>
    <col min="11273" max="11273" width="29" style="247" customWidth="1"/>
    <col min="11274" max="11276" width="9.25" style="247" customWidth="1"/>
    <col min="11277" max="11277" width="10.375" style="247" customWidth="1"/>
    <col min="11278" max="11278" width="9.625" style="247" customWidth="1"/>
    <col min="11279" max="11279" width="9.25" style="247" customWidth="1"/>
    <col min="11280" max="11280" width="8.375" style="247" customWidth="1"/>
    <col min="11281" max="11281" width="10.375" style="247" customWidth="1"/>
    <col min="11282" max="11282" width="14.625" style="247" customWidth="1"/>
    <col min="11283" max="11283" width="28.375" style="247" customWidth="1"/>
    <col min="11284" max="11284" width="14.125" style="247" bestFit="1" customWidth="1"/>
    <col min="11285" max="11285" width="8.75" style="247" bestFit="1" customWidth="1"/>
    <col min="11286" max="11528" width="9" style="247"/>
    <col min="11529" max="11529" width="29" style="247" customWidth="1"/>
    <col min="11530" max="11532" width="9.25" style="247" customWidth="1"/>
    <col min="11533" max="11533" width="10.375" style="247" customWidth="1"/>
    <col min="11534" max="11534" width="9.625" style="247" customWidth="1"/>
    <col min="11535" max="11535" width="9.25" style="247" customWidth="1"/>
    <col min="11536" max="11536" width="8.375" style="247" customWidth="1"/>
    <col min="11537" max="11537" width="10.375" style="247" customWidth="1"/>
    <col min="11538" max="11538" width="14.625" style="247" customWidth="1"/>
    <col min="11539" max="11539" width="28.375" style="247" customWidth="1"/>
    <col min="11540" max="11540" width="14.125" style="247" bestFit="1" customWidth="1"/>
    <col min="11541" max="11541" width="8.75" style="247" bestFit="1" customWidth="1"/>
    <col min="11542" max="11784" width="9" style="247"/>
    <col min="11785" max="11785" width="29" style="247" customWidth="1"/>
    <col min="11786" max="11788" width="9.25" style="247" customWidth="1"/>
    <col min="11789" max="11789" width="10.375" style="247" customWidth="1"/>
    <col min="11790" max="11790" width="9.625" style="247" customWidth="1"/>
    <col min="11791" max="11791" width="9.25" style="247" customWidth="1"/>
    <col min="11792" max="11792" width="8.375" style="247" customWidth="1"/>
    <col min="11793" max="11793" width="10.375" style="247" customWidth="1"/>
    <col min="11794" max="11794" width="14.625" style="247" customWidth="1"/>
    <col min="11795" max="11795" width="28.375" style="247" customWidth="1"/>
    <col min="11796" max="11796" width="14.125" style="247" bestFit="1" customWidth="1"/>
    <col min="11797" max="11797" width="8.75" style="247" bestFit="1" customWidth="1"/>
    <col min="11798" max="12040" width="9" style="247"/>
    <col min="12041" max="12041" width="29" style="247" customWidth="1"/>
    <col min="12042" max="12044" width="9.25" style="247" customWidth="1"/>
    <col min="12045" max="12045" width="10.375" style="247" customWidth="1"/>
    <col min="12046" max="12046" width="9.625" style="247" customWidth="1"/>
    <col min="12047" max="12047" width="9.25" style="247" customWidth="1"/>
    <col min="12048" max="12048" width="8.375" style="247" customWidth="1"/>
    <col min="12049" max="12049" width="10.375" style="247" customWidth="1"/>
    <col min="12050" max="12050" width="14.625" style="247" customWidth="1"/>
    <col min="12051" max="12051" width="28.375" style="247" customWidth="1"/>
    <col min="12052" max="12052" width="14.125" style="247" bestFit="1" customWidth="1"/>
    <col min="12053" max="12053" width="8.75" style="247" bestFit="1" customWidth="1"/>
    <col min="12054" max="12296" width="9" style="247"/>
    <col min="12297" max="12297" width="29" style="247" customWidth="1"/>
    <col min="12298" max="12300" width="9.25" style="247" customWidth="1"/>
    <col min="12301" max="12301" width="10.375" style="247" customWidth="1"/>
    <col min="12302" max="12302" width="9.625" style="247" customWidth="1"/>
    <col min="12303" max="12303" width="9.25" style="247" customWidth="1"/>
    <col min="12304" max="12304" width="8.375" style="247" customWidth="1"/>
    <col min="12305" max="12305" width="10.375" style="247" customWidth="1"/>
    <col min="12306" max="12306" width="14.625" style="247" customWidth="1"/>
    <col min="12307" max="12307" width="28.375" style="247" customWidth="1"/>
    <col min="12308" max="12308" width="14.125" style="247" bestFit="1" customWidth="1"/>
    <col min="12309" max="12309" width="8.75" style="247" bestFit="1" customWidth="1"/>
    <col min="12310" max="12552" width="9" style="247"/>
    <col min="12553" max="12553" width="29" style="247" customWidth="1"/>
    <col min="12554" max="12556" width="9.25" style="247" customWidth="1"/>
    <col min="12557" max="12557" width="10.375" style="247" customWidth="1"/>
    <col min="12558" max="12558" width="9.625" style="247" customWidth="1"/>
    <col min="12559" max="12559" width="9.25" style="247" customWidth="1"/>
    <col min="12560" max="12560" width="8.375" style="247" customWidth="1"/>
    <col min="12561" max="12561" width="10.375" style="247" customWidth="1"/>
    <col min="12562" max="12562" width="14.625" style="247" customWidth="1"/>
    <col min="12563" max="12563" width="28.375" style="247" customWidth="1"/>
    <col min="12564" max="12564" width="14.125" style="247" bestFit="1" customWidth="1"/>
    <col min="12565" max="12565" width="8.75" style="247" bestFit="1" customWidth="1"/>
    <col min="12566" max="12808" width="9" style="247"/>
    <col min="12809" max="12809" width="29" style="247" customWidth="1"/>
    <col min="12810" max="12812" width="9.25" style="247" customWidth="1"/>
    <col min="12813" max="12813" width="10.375" style="247" customWidth="1"/>
    <col min="12814" max="12814" width="9.625" style="247" customWidth="1"/>
    <col min="12815" max="12815" width="9.25" style="247" customWidth="1"/>
    <col min="12816" max="12816" width="8.375" style="247" customWidth="1"/>
    <col min="12817" max="12817" width="10.375" style="247" customWidth="1"/>
    <col min="12818" max="12818" width="14.625" style="247" customWidth="1"/>
    <col min="12819" max="12819" width="28.375" style="247" customWidth="1"/>
    <col min="12820" max="12820" width="14.125" style="247" bestFit="1" customWidth="1"/>
    <col min="12821" max="12821" width="8.75" style="247" bestFit="1" customWidth="1"/>
    <col min="12822" max="13064" width="9" style="247"/>
    <col min="13065" max="13065" width="29" style="247" customWidth="1"/>
    <col min="13066" max="13068" width="9.25" style="247" customWidth="1"/>
    <col min="13069" max="13069" width="10.375" style="247" customWidth="1"/>
    <col min="13070" max="13070" width="9.625" style="247" customWidth="1"/>
    <col min="13071" max="13071" width="9.25" style="247" customWidth="1"/>
    <col min="13072" max="13072" width="8.375" style="247" customWidth="1"/>
    <col min="13073" max="13073" width="10.375" style="247" customWidth="1"/>
    <col min="13074" max="13074" width="14.625" style="247" customWidth="1"/>
    <col min="13075" max="13075" width="28.375" style="247" customWidth="1"/>
    <col min="13076" max="13076" width="14.125" style="247" bestFit="1" customWidth="1"/>
    <col min="13077" max="13077" width="8.75" style="247" bestFit="1" customWidth="1"/>
    <col min="13078" max="13320" width="9" style="247"/>
    <col min="13321" max="13321" width="29" style="247" customWidth="1"/>
    <col min="13322" max="13324" width="9.25" style="247" customWidth="1"/>
    <col min="13325" max="13325" width="10.375" style="247" customWidth="1"/>
    <col min="13326" max="13326" width="9.625" style="247" customWidth="1"/>
    <col min="13327" max="13327" width="9.25" style="247" customWidth="1"/>
    <col min="13328" max="13328" width="8.375" style="247" customWidth="1"/>
    <col min="13329" max="13329" width="10.375" style="247" customWidth="1"/>
    <col min="13330" max="13330" width="14.625" style="247" customWidth="1"/>
    <col min="13331" max="13331" width="28.375" style="247" customWidth="1"/>
    <col min="13332" max="13332" width="14.125" style="247" bestFit="1" customWidth="1"/>
    <col min="13333" max="13333" width="8.75" style="247" bestFit="1" customWidth="1"/>
    <col min="13334" max="13576" width="9" style="247"/>
    <col min="13577" max="13577" width="29" style="247" customWidth="1"/>
    <col min="13578" max="13580" width="9.25" style="247" customWidth="1"/>
    <col min="13581" max="13581" width="10.375" style="247" customWidth="1"/>
    <col min="13582" max="13582" width="9.625" style="247" customWidth="1"/>
    <col min="13583" max="13583" width="9.25" style="247" customWidth="1"/>
    <col min="13584" max="13584" width="8.375" style="247" customWidth="1"/>
    <col min="13585" max="13585" width="10.375" style="247" customWidth="1"/>
    <col min="13586" max="13586" width="14.625" style="247" customWidth="1"/>
    <col min="13587" max="13587" width="28.375" style="247" customWidth="1"/>
    <col min="13588" max="13588" width="14.125" style="247" bestFit="1" customWidth="1"/>
    <col min="13589" max="13589" width="8.75" style="247" bestFit="1" customWidth="1"/>
    <col min="13590" max="13832" width="9" style="247"/>
    <col min="13833" max="13833" width="29" style="247" customWidth="1"/>
    <col min="13834" max="13836" width="9.25" style="247" customWidth="1"/>
    <col min="13837" max="13837" width="10.375" style="247" customWidth="1"/>
    <col min="13838" max="13838" width="9.625" style="247" customWidth="1"/>
    <col min="13839" max="13839" width="9.25" style="247" customWidth="1"/>
    <col min="13840" max="13840" width="8.375" style="247" customWidth="1"/>
    <col min="13841" max="13841" width="10.375" style="247" customWidth="1"/>
    <col min="13842" max="13842" width="14.625" style="247" customWidth="1"/>
    <col min="13843" max="13843" width="28.375" style="247" customWidth="1"/>
    <col min="13844" max="13844" width="14.125" style="247" bestFit="1" customWidth="1"/>
    <col min="13845" max="13845" width="8.75" style="247" bestFit="1" customWidth="1"/>
    <col min="13846" max="14088" width="9" style="247"/>
    <col min="14089" max="14089" width="29" style="247" customWidth="1"/>
    <col min="14090" max="14092" width="9.25" style="247" customWidth="1"/>
    <col min="14093" max="14093" width="10.375" style="247" customWidth="1"/>
    <col min="14094" max="14094" width="9.625" style="247" customWidth="1"/>
    <col min="14095" max="14095" width="9.25" style="247" customWidth="1"/>
    <col min="14096" max="14096" width="8.375" style="247" customWidth="1"/>
    <col min="14097" max="14097" width="10.375" style="247" customWidth="1"/>
    <col min="14098" max="14098" width="14.625" style="247" customWidth="1"/>
    <col min="14099" max="14099" width="28.375" style="247" customWidth="1"/>
    <col min="14100" max="14100" width="14.125" style="247" bestFit="1" customWidth="1"/>
    <col min="14101" max="14101" width="8.75" style="247" bestFit="1" customWidth="1"/>
    <col min="14102" max="14344" width="9" style="247"/>
    <col min="14345" max="14345" width="29" style="247" customWidth="1"/>
    <col min="14346" max="14348" width="9.25" style="247" customWidth="1"/>
    <col min="14349" max="14349" width="10.375" style="247" customWidth="1"/>
    <col min="14350" max="14350" width="9.625" style="247" customWidth="1"/>
    <col min="14351" max="14351" width="9.25" style="247" customWidth="1"/>
    <col min="14352" max="14352" width="8.375" style="247" customWidth="1"/>
    <col min="14353" max="14353" width="10.375" style="247" customWidth="1"/>
    <col min="14354" max="14354" width="14.625" style="247" customWidth="1"/>
    <col min="14355" max="14355" width="28.375" style="247" customWidth="1"/>
    <col min="14356" max="14356" width="14.125" style="247" bestFit="1" customWidth="1"/>
    <col min="14357" max="14357" width="8.75" style="247" bestFit="1" customWidth="1"/>
    <col min="14358" max="14600" width="9" style="247"/>
    <col min="14601" max="14601" width="29" style="247" customWidth="1"/>
    <col min="14602" max="14604" width="9.25" style="247" customWidth="1"/>
    <col min="14605" max="14605" width="10.375" style="247" customWidth="1"/>
    <col min="14606" max="14606" width="9.625" style="247" customWidth="1"/>
    <col min="14607" max="14607" width="9.25" style="247" customWidth="1"/>
    <col min="14608" max="14608" width="8.375" style="247" customWidth="1"/>
    <col min="14609" max="14609" width="10.375" style="247" customWidth="1"/>
    <col min="14610" max="14610" width="14.625" style="247" customWidth="1"/>
    <col min="14611" max="14611" width="28.375" style="247" customWidth="1"/>
    <col min="14612" max="14612" width="14.125" style="247" bestFit="1" customWidth="1"/>
    <col min="14613" max="14613" width="8.75" style="247" bestFit="1" customWidth="1"/>
    <col min="14614" max="14856" width="9" style="247"/>
    <col min="14857" max="14857" width="29" style="247" customWidth="1"/>
    <col min="14858" max="14860" width="9.25" style="247" customWidth="1"/>
    <col min="14861" max="14861" width="10.375" style="247" customWidth="1"/>
    <col min="14862" max="14862" width="9.625" style="247" customWidth="1"/>
    <col min="14863" max="14863" width="9.25" style="247" customWidth="1"/>
    <col min="14864" max="14864" width="8.375" style="247" customWidth="1"/>
    <col min="14865" max="14865" width="10.375" style="247" customWidth="1"/>
    <col min="14866" max="14866" width="14.625" style="247" customWidth="1"/>
    <col min="14867" max="14867" width="28.375" style="247" customWidth="1"/>
    <col min="14868" max="14868" width="14.125" style="247" bestFit="1" customWidth="1"/>
    <col min="14869" max="14869" width="8.75" style="247" bestFit="1" customWidth="1"/>
    <col min="14870" max="15112" width="9" style="247"/>
    <col min="15113" max="15113" width="29" style="247" customWidth="1"/>
    <col min="15114" max="15116" width="9.25" style="247" customWidth="1"/>
    <col min="15117" max="15117" width="10.375" style="247" customWidth="1"/>
    <col min="15118" max="15118" width="9.625" style="247" customWidth="1"/>
    <col min="15119" max="15119" width="9.25" style="247" customWidth="1"/>
    <col min="15120" max="15120" width="8.375" style="247" customWidth="1"/>
    <col min="15121" max="15121" width="10.375" style="247" customWidth="1"/>
    <col min="15122" max="15122" width="14.625" style="247" customWidth="1"/>
    <col min="15123" max="15123" width="28.375" style="247" customWidth="1"/>
    <col min="15124" max="15124" width="14.125" style="247" bestFit="1" customWidth="1"/>
    <col min="15125" max="15125" width="8.75" style="247" bestFit="1" customWidth="1"/>
    <col min="15126" max="15368" width="9" style="247"/>
    <col min="15369" max="15369" width="29" style="247" customWidth="1"/>
    <col min="15370" max="15372" width="9.25" style="247" customWidth="1"/>
    <col min="15373" max="15373" width="10.375" style="247" customWidth="1"/>
    <col min="15374" max="15374" width="9.625" style="247" customWidth="1"/>
    <col min="15375" max="15375" width="9.25" style="247" customWidth="1"/>
    <col min="15376" max="15376" width="8.375" style="247" customWidth="1"/>
    <col min="15377" max="15377" width="10.375" style="247" customWidth="1"/>
    <col min="15378" max="15378" width="14.625" style="247" customWidth="1"/>
    <col min="15379" max="15379" width="28.375" style="247" customWidth="1"/>
    <col min="15380" max="15380" width="14.125" style="247" bestFit="1" customWidth="1"/>
    <col min="15381" max="15381" width="8.75" style="247" bestFit="1" customWidth="1"/>
    <col min="15382" max="15624" width="9" style="247"/>
    <col min="15625" max="15625" width="29" style="247" customWidth="1"/>
    <col min="15626" max="15628" width="9.25" style="247" customWidth="1"/>
    <col min="15629" max="15629" width="10.375" style="247" customWidth="1"/>
    <col min="15630" max="15630" width="9.625" style="247" customWidth="1"/>
    <col min="15631" max="15631" width="9.25" style="247" customWidth="1"/>
    <col min="15632" max="15632" width="8.375" style="247" customWidth="1"/>
    <col min="15633" max="15633" width="10.375" style="247" customWidth="1"/>
    <col min="15634" max="15634" width="14.625" style="247" customWidth="1"/>
    <col min="15635" max="15635" width="28.375" style="247" customWidth="1"/>
    <col min="15636" max="15636" width="14.125" style="247" bestFit="1" customWidth="1"/>
    <col min="15637" max="15637" width="8.75" style="247" bestFit="1" customWidth="1"/>
    <col min="15638" max="15880" width="9" style="247"/>
    <col min="15881" max="15881" width="29" style="247" customWidth="1"/>
    <col min="15882" max="15884" width="9.25" style="247" customWidth="1"/>
    <col min="15885" max="15885" width="10.375" style="247" customWidth="1"/>
    <col min="15886" max="15886" width="9.625" style="247" customWidth="1"/>
    <col min="15887" max="15887" width="9.25" style="247" customWidth="1"/>
    <col min="15888" max="15888" width="8.375" style="247" customWidth="1"/>
    <col min="15889" max="15889" width="10.375" style="247" customWidth="1"/>
    <col min="15890" max="15890" width="14.625" style="247" customWidth="1"/>
    <col min="15891" max="15891" width="28.375" style="247" customWidth="1"/>
    <col min="15892" max="15892" width="14.125" style="247" bestFit="1" customWidth="1"/>
    <col min="15893" max="15893" width="8.75" style="247" bestFit="1" customWidth="1"/>
    <col min="15894" max="16136" width="9" style="247"/>
    <col min="16137" max="16137" width="29" style="247" customWidth="1"/>
    <col min="16138" max="16140" width="9.25" style="247" customWidth="1"/>
    <col min="16141" max="16141" width="10.375" style="247" customWidth="1"/>
    <col min="16142" max="16142" width="9.625" style="247" customWidth="1"/>
    <col min="16143" max="16143" width="9.25" style="247" customWidth="1"/>
    <col min="16144" max="16144" width="8.375" style="247" customWidth="1"/>
    <col min="16145" max="16145" width="10.375" style="247" customWidth="1"/>
    <col min="16146" max="16146" width="14.625" style="247" customWidth="1"/>
    <col min="16147" max="16147" width="28.375" style="247" customWidth="1"/>
    <col min="16148" max="16148" width="14.125" style="247" bestFit="1" customWidth="1"/>
    <col min="16149" max="16149" width="8.75" style="247" bestFit="1" customWidth="1"/>
    <col min="16150" max="16384" width="9" style="247"/>
  </cols>
  <sheetData>
    <row r="1" spans="1:21" ht="24.75">
      <c r="A1" s="1699" t="s">
        <v>84</v>
      </c>
      <c r="B1" s="1699"/>
      <c r="C1" s="1699"/>
      <c r="D1" s="1699"/>
      <c r="E1" s="1699"/>
      <c r="F1" s="1699"/>
      <c r="G1" s="1699"/>
      <c r="H1" s="1699"/>
      <c r="I1" s="1699"/>
      <c r="J1" s="1699"/>
      <c r="K1" s="1699"/>
      <c r="L1" s="1699"/>
      <c r="M1" s="1699"/>
      <c r="N1" s="1699"/>
      <c r="O1" s="1699"/>
      <c r="P1" s="1699"/>
      <c r="Q1" s="1699"/>
      <c r="R1" s="1699"/>
      <c r="S1" s="1699"/>
    </row>
    <row r="2" spans="1:21" ht="24.75">
      <c r="A2" s="1699" t="s">
        <v>173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</row>
    <row r="3" spans="1:21" s="250" customFormat="1" ht="21.75">
      <c r="A3" s="248" t="s">
        <v>0</v>
      </c>
      <c r="B3" s="248"/>
      <c r="C3" s="248"/>
      <c r="D3" s="249"/>
      <c r="E3" s="249"/>
      <c r="F3" s="249"/>
      <c r="U3" s="705"/>
    </row>
    <row r="4" spans="1:21" s="250" customFormat="1" ht="21.75">
      <c r="A4" s="248" t="s">
        <v>1</v>
      </c>
      <c r="B4" s="248"/>
      <c r="C4" s="248"/>
      <c r="U4" s="705"/>
    </row>
    <row r="5" spans="1:21">
      <c r="S5" s="251" t="s">
        <v>86</v>
      </c>
    </row>
    <row r="6" spans="1:21" s="252" customFormat="1" ht="17.25" customHeight="1">
      <c r="A6" s="1700" t="s">
        <v>87</v>
      </c>
      <c r="B6" s="1700"/>
      <c r="C6" s="1701" t="s">
        <v>88</v>
      </c>
      <c r="D6" s="1702" t="s">
        <v>174</v>
      </c>
      <c r="E6" s="1703"/>
      <c r="F6" s="1702" t="s">
        <v>15</v>
      </c>
      <c r="G6" s="1703"/>
      <c r="H6" s="1706" t="s">
        <v>344</v>
      </c>
      <c r="I6" s="1706"/>
      <c r="J6" s="1706"/>
      <c r="K6" s="1706"/>
      <c r="L6" s="1706"/>
      <c r="M6" s="1706"/>
      <c r="N6" s="1706"/>
      <c r="O6" s="1706"/>
      <c r="P6" s="1706"/>
      <c r="Q6" s="1649" t="s">
        <v>89</v>
      </c>
      <c r="R6" s="1649" t="s">
        <v>90</v>
      </c>
      <c r="S6" s="1701" t="s">
        <v>91</v>
      </c>
      <c r="U6" s="706"/>
    </row>
    <row r="7" spans="1:21" s="252" customFormat="1" ht="17.25" customHeight="1">
      <c r="A7" s="1700"/>
      <c r="B7" s="1700"/>
      <c r="C7" s="1685"/>
      <c r="D7" s="1704"/>
      <c r="E7" s="1705"/>
      <c r="F7" s="1704"/>
      <c r="G7" s="1705"/>
      <c r="H7" s="1690" t="s">
        <v>76</v>
      </c>
      <c r="I7" s="1690" t="s">
        <v>77</v>
      </c>
      <c r="J7" s="1690"/>
      <c r="K7" s="1690"/>
      <c r="L7" s="1685" t="s">
        <v>175</v>
      </c>
      <c r="M7" s="1685" t="s">
        <v>92</v>
      </c>
      <c r="N7" s="1685" t="s">
        <v>93</v>
      </c>
      <c r="O7" s="1685" t="s">
        <v>94</v>
      </c>
      <c r="P7" s="1708" t="s">
        <v>10</v>
      </c>
      <c r="Q7" s="1650"/>
      <c r="R7" s="1650"/>
      <c r="S7" s="1685"/>
      <c r="U7" s="706"/>
    </row>
    <row r="8" spans="1:21" s="252" customFormat="1" ht="24" customHeight="1">
      <c r="A8" s="1700"/>
      <c r="B8" s="1700"/>
      <c r="C8" s="1685"/>
      <c r="D8" s="253" t="s">
        <v>4</v>
      </c>
      <c r="E8" s="253" t="s">
        <v>5</v>
      </c>
      <c r="F8" s="253" t="s">
        <v>4</v>
      </c>
      <c r="G8" s="253" t="s">
        <v>6</v>
      </c>
      <c r="H8" s="1649"/>
      <c r="I8" s="1690"/>
      <c r="J8" s="1690"/>
      <c r="K8" s="1690"/>
      <c r="L8" s="1685" t="s">
        <v>95</v>
      </c>
      <c r="M8" s="1685"/>
      <c r="N8" s="1685"/>
      <c r="O8" s="1685"/>
      <c r="P8" s="1708"/>
      <c r="Q8" s="1650"/>
      <c r="R8" s="1650"/>
      <c r="S8" s="1685"/>
      <c r="U8" s="706"/>
    </row>
    <row r="9" spans="1:21" s="252" customFormat="1" ht="17.25" customHeight="1">
      <c r="A9" s="254" t="s">
        <v>96</v>
      </c>
      <c r="B9" s="254" t="s">
        <v>97</v>
      </c>
      <c r="C9" s="255"/>
      <c r="D9" s="256"/>
      <c r="E9" s="256"/>
      <c r="F9" s="256"/>
      <c r="G9" s="256"/>
      <c r="H9" s="257"/>
      <c r="I9" s="257" t="s">
        <v>78</v>
      </c>
      <c r="J9" s="257" t="s">
        <v>79</v>
      </c>
      <c r="K9" s="257" t="s">
        <v>80</v>
      </c>
      <c r="L9" s="258"/>
      <c r="M9" s="258"/>
      <c r="N9" s="258"/>
      <c r="O9" s="258"/>
      <c r="P9" s="259"/>
      <c r="Q9" s="257"/>
      <c r="R9" s="257"/>
      <c r="S9" s="1685"/>
      <c r="U9" s="706"/>
    </row>
    <row r="10" spans="1:21" s="252" customFormat="1" ht="17.25" customHeight="1" thickBot="1">
      <c r="A10" s="260"/>
      <c r="B10" s="260"/>
      <c r="C10" s="261" t="s">
        <v>11</v>
      </c>
      <c r="D10" s="262"/>
      <c r="E10" s="262"/>
      <c r="F10" s="262"/>
      <c r="G10" s="262"/>
      <c r="H10" s="263"/>
      <c r="I10" s="263"/>
      <c r="J10" s="263"/>
      <c r="K10" s="263"/>
      <c r="L10" s="264"/>
      <c r="M10" s="264"/>
      <c r="N10" s="264"/>
      <c r="O10" s="264"/>
      <c r="P10" s="265">
        <f>P14</f>
        <v>20596240</v>
      </c>
      <c r="Q10" s="263"/>
      <c r="R10" s="263"/>
      <c r="S10" s="1707"/>
      <c r="U10" s="706"/>
    </row>
    <row r="11" spans="1:21" s="105" customFormat="1" ht="23.25" customHeight="1" thickTop="1">
      <c r="A11" s="477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479"/>
      <c r="Q11" s="479"/>
      <c r="R11" s="479"/>
      <c r="S11" s="104"/>
      <c r="U11" s="707"/>
    </row>
    <row r="12" spans="1:21" s="39" customFormat="1" ht="21.75" customHeight="1">
      <c r="A12" s="198"/>
      <c r="B12" s="198"/>
      <c r="C12" s="699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483"/>
      <c r="Q12" s="215"/>
      <c r="R12" s="215"/>
      <c r="S12" s="1347" t="s">
        <v>178</v>
      </c>
      <c r="U12" s="708"/>
    </row>
    <row r="13" spans="1:21" s="569" customFormat="1" ht="25.5" customHeight="1">
      <c r="A13" s="568"/>
      <c r="C13" s="570" t="s">
        <v>842</v>
      </c>
      <c r="D13" s="571"/>
      <c r="E13" s="571"/>
      <c r="F13" s="571"/>
      <c r="G13" s="571"/>
      <c r="H13" s="571"/>
      <c r="I13" s="571"/>
      <c r="J13" s="571"/>
      <c r="K13" s="571"/>
      <c r="L13" s="572"/>
      <c r="M13" s="572"/>
      <c r="N13" s="572"/>
      <c r="O13" s="572"/>
      <c r="P13" s="573"/>
      <c r="Q13" s="571"/>
      <c r="R13" s="574"/>
      <c r="S13" s="1693" t="s">
        <v>1769</v>
      </c>
      <c r="T13" s="575"/>
      <c r="U13" s="709"/>
    </row>
    <row r="14" spans="1:21" s="569" customFormat="1" ht="24.75" customHeight="1">
      <c r="A14" s="568"/>
      <c r="C14" s="576" t="s">
        <v>843</v>
      </c>
      <c r="D14" s="571"/>
      <c r="E14" s="571"/>
      <c r="F14" s="571"/>
      <c r="G14" s="571"/>
      <c r="H14" s="571"/>
      <c r="I14" s="571"/>
      <c r="J14" s="571"/>
      <c r="K14" s="571"/>
      <c r="L14" s="572"/>
      <c r="M14" s="572"/>
      <c r="N14" s="572"/>
      <c r="O14" s="572"/>
      <c r="P14" s="1358">
        <f>P17+P24+P27+P31+P36+P42+P51+P57+P66+P72+P81+P86+P91+P96+P101+P103+P105+P112+P122+P127+P131</f>
        <v>20596240</v>
      </c>
      <c r="Q14" s="577"/>
      <c r="R14" s="571"/>
      <c r="S14" s="1694"/>
      <c r="T14" s="575"/>
      <c r="U14" s="709"/>
    </row>
    <row r="15" spans="1:21" s="250" customFormat="1" ht="25.5" customHeight="1">
      <c r="A15" s="578"/>
      <c r="C15" s="700" t="s">
        <v>844</v>
      </c>
      <c r="D15" s="701"/>
      <c r="E15" s="701"/>
      <c r="F15" s="701"/>
      <c r="G15" s="701"/>
      <c r="H15" s="702"/>
      <c r="I15" s="579"/>
      <c r="J15" s="579"/>
      <c r="K15" s="579"/>
      <c r="L15" s="580"/>
      <c r="M15" s="580"/>
      <c r="N15" s="580"/>
      <c r="O15" s="580"/>
      <c r="P15" s="1357">
        <f>P17+P24+P26</f>
        <v>20596240</v>
      </c>
      <c r="Q15" s="579"/>
      <c r="R15" s="579"/>
      <c r="S15" s="1694"/>
      <c r="U15" s="705"/>
    </row>
    <row r="16" spans="1:21" s="250" customFormat="1" ht="21" customHeight="1">
      <c r="A16" s="578"/>
      <c r="C16" s="581" t="s">
        <v>12</v>
      </c>
      <c r="D16" s="581"/>
      <c r="E16" s="581"/>
      <c r="F16" s="581"/>
      <c r="G16" s="579"/>
      <c r="H16" s="579"/>
      <c r="I16" s="579"/>
      <c r="J16" s="579"/>
      <c r="K16" s="579"/>
      <c r="L16" s="580"/>
      <c r="M16" s="580"/>
      <c r="N16" s="580"/>
      <c r="O16" s="580"/>
      <c r="P16" s="579"/>
      <c r="Q16" s="579"/>
      <c r="R16" s="579"/>
      <c r="S16" s="1694"/>
      <c r="U16" s="705"/>
    </row>
    <row r="17" spans="1:21" s="583" customFormat="1" ht="22.5" customHeight="1">
      <c r="A17" s="582"/>
      <c r="C17" s="584" t="s">
        <v>101</v>
      </c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6"/>
      <c r="P17" s="587">
        <f>SUM(P18:P23)</f>
        <v>2835000</v>
      </c>
      <c r="Q17" s="588"/>
      <c r="R17" s="588"/>
      <c r="S17" s="1695"/>
      <c r="T17" s="589"/>
      <c r="U17" s="705">
        <v>14.207000000000001</v>
      </c>
    </row>
    <row r="18" spans="1:21" s="583" customFormat="1" ht="24.75" customHeight="1">
      <c r="A18" s="582"/>
      <c r="C18" s="590" t="s">
        <v>345</v>
      </c>
      <c r="D18" s="585"/>
      <c r="E18" s="585"/>
      <c r="F18" s="585"/>
      <c r="G18" s="585"/>
      <c r="H18" s="591" t="s">
        <v>81</v>
      </c>
      <c r="I18" s="592"/>
      <c r="J18" s="593" t="s">
        <v>104</v>
      </c>
      <c r="K18" s="585"/>
      <c r="L18" s="594">
        <v>1</v>
      </c>
      <c r="M18" s="594">
        <v>7</v>
      </c>
      <c r="N18" s="594">
        <v>6</v>
      </c>
      <c r="O18" s="595">
        <v>85000</v>
      </c>
      <c r="P18" s="596">
        <f t="shared" ref="P18:P23" si="0">O18*N18*L18</f>
        <v>510000</v>
      </c>
      <c r="Q18" s="597"/>
      <c r="R18" s="597"/>
      <c r="S18" s="1696" t="s">
        <v>1768</v>
      </c>
      <c r="U18" s="705">
        <v>4.8600000000000003</v>
      </c>
    </row>
    <row r="19" spans="1:21" s="583" customFormat="1" ht="22.5" customHeight="1">
      <c r="A19" s="582"/>
      <c r="C19" s="598" t="s">
        <v>346</v>
      </c>
      <c r="D19" s="585"/>
      <c r="E19" s="585"/>
      <c r="F19" s="585"/>
      <c r="G19" s="585"/>
      <c r="H19" s="591" t="s">
        <v>81</v>
      </c>
      <c r="I19" s="592"/>
      <c r="J19" s="593" t="s">
        <v>104</v>
      </c>
      <c r="K19" s="585"/>
      <c r="L19" s="594">
        <v>1</v>
      </c>
      <c r="M19" s="594">
        <v>3</v>
      </c>
      <c r="N19" s="594">
        <v>8</v>
      </c>
      <c r="O19" s="595">
        <v>70000</v>
      </c>
      <c r="P19" s="596">
        <f t="shared" si="0"/>
        <v>560000</v>
      </c>
      <c r="Q19" s="597"/>
      <c r="R19" s="597"/>
      <c r="S19" s="1697"/>
      <c r="U19" s="705">
        <v>3.24</v>
      </c>
    </row>
    <row r="20" spans="1:21" s="583" customFormat="1" ht="22.5" customHeight="1">
      <c r="A20" s="582"/>
      <c r="C20" s="598" t="s">
        <v>347</v>
      </c>
      <c r="D20" s="585"/>
      <c r="E20" s="585"/>
      <c r="F20" s="585"/>
      <c r="G20" s="585"/>
      <c r="H20" s="591" t="s">
        <v>81</v>
      </c>
      <c r="I20" s="592"/>
      <c r="J20" s="593" t="s">
        <v>104</v>
      </c>
      <c r="K20" s="585"/>
      <c r="L20" s="594">
        <v>1</v>
      </c>
      <c r="M20" s="594">
        <v>1</v>
      </c>
      <c r="N20" s="594">
        <v>8</v>
      </c>
      <c r="O20" s="595">
        <v>70000</v>
      </c>
      <c r="P20" s="596">
        <f t="shared" si="0"/>
        <v>560000</v>
      </c>
      <c r="Q20" s="597"/>
      <c r="R20" s="597"/>
      <c r="S20" s="1697"/>
      <c r="U20" s="705">
        <v>0.9</v>
      </c>
    </row>
    <row r="21" spans="1:21" s="583" customFormat="1" ht="22.5" customHeight="1">
      <c r="A21" s="582"/>
      <c r="C21" s="598" t="s">
        <v>348</v>
      </c>
      <c r="D21" s="585"/>
      <c r="E21" s="585"/>
      <c r="F21" s="585"/>
      <c r="G21" s="585"/>
      <c r="H21" s="591" t="s">
        <v>81</v>
      </c>
      <c r="I21" s="593" t="s">
        <v>104</v>
      </c>
      <c r="J21" s="593"/>
      <c r="K21" s="585"/>
      <c r="L21" s="594">
        <v>1</v>
      </c>
      <c r="M21" s="594">
        <v>3</v>
      </c>
      <c r="N21" s="594">
        <v>9</v>
      </c>
      <c r="O21" s="595">
        <v>55000</v>
      </c>
      <c r="P21" s="596">
        <f t="shared" si="0"/>
        <v>495000</v>
      </c>
      <c r="Q21" s="597"/>
      <c r="R21" s="597"/>
      <c r="S21" s="1697"/>
      <c r="U21" s="705">
        <v>0.11</v>
      </c>
    </row>
    <row r="22" spans="1:21" s="583" customFormat="1" ht="22.5" customHeight="1">
      <c r="A22" s="582"/>
      <c r="C22" s="598" t="s">
        <v>349</v>
      </c>
      <c r="D22" s="585"/>
      <c r="E22" s="585"/>
      <c r="F22" s="585"/>
      <c r="G22" s="585"/>
      <c r="H22" s="591" t="s">
        <v>81</v>
      </c>
      <c r="I22" s="593" t="s">
        <v>104</v>
      </c>
      <c r="J22" s="593"/>
      <c r="K22" s="585"/>
      <c r="L22" s="594">
        <v>1</v>
      </c>
      <c r="M22" s="594">
        <v>3</v>
      </c>
      <c r="N22" s="594">
        <v>8</v>
      </c>
      <c r="O22" s="595">
        <v>55000</v>
      </c>
      <c r="P22" s="596">
        <f t="shared" si="0"/>
        <v>440000</v>
      </c>
      <c r="Q22" s="597"/>
      <c r="R22" s="597"/>
      <c r="S22" s="1697"/>
      <c r="U22" s="705">
        <v>0.3</v>
      </c>
    </row>
    <row r="23" spans="1:21" s="583" customFormat="1" ht="22.5" customHeight="1">
      <c r="A23" s="582"/>
      <c r="C23" s="598" t="s">
        <v>350</v>
      </c>
      <c r="D23" s="585"/>
      <c r="E23" s="585"/>
      <c r="F23" s="585"/>
      <c r="G23" s="585"/>
      <c r="H23" s="591" t="s">
        <v>81</v>
      </c>
      <c r="I23" s="593" t="s">
        <v>104</v>
      </c>
      <c r="J23" s="593"/>
      <c r="K23" s="585"/>
      <c r="L23" s="594">
        <v>2</v>
      </c>
      <c r="M23" s="594">
        <v>3</v>
      </c>
      <c r="N23" s="594">
        <v>9</v>
      </c>
      <c r="O23" s="595">
        <v>15000</v>
      </c>
      <c r="P23" s="596">
        <f t="shared" si="0"/>
        <v>270000</v>
      </c>
      <c r="Q23" s="597"/>
      <c r="R23" s="597"/>
      <c r="S23" s="1697"/>
      <c r="U23" s="705">
        <v>0.12</v>
      </c>
    </row>
    <row r="24" spans="1:21" s="583" customFormat="1" ht="22.5" customHeight="1">
      <c r="A24" s="582"/>
      <c r="C24" s="584" t="s">
        <v>112</v>
      </c>
      <c r="D24" s="585"/>
      <c r="E24" s="585"/>
      <c r="F24" s="585"/>
      <c r="G24" s="585"/>
      <c r="H24" s="585"/>
      <c r="I24" s="585"/>
      <c r="J24" s="585"/>
      <c r="K24" s="585"/>
      <c r="L24" s="599"/>
      <c r="M24" s="599"/>
      <c r="N24" s="599"/>
      <c r="O24" s="600"/>
      <c r="P24" s="601">
        <f>SUM(P25)</f>
        <v>135000</v>
      </c>
      <c r="Q24" s="602"/>
      <c r="R24" s="602"/>
      <c r="S24" s="1697"/>
      <c r="U24" s="705">
        <v>0.64800000000000002</v>
      </c>
    </row>
    <row r="25" spans="1:21" s="583" customFormat="1" ht="22.5" customHeight="1">
      <c r="A25" s="582"/>
      <c r="C25" s="603" t="s">
        <v>351</v>
      </c>
      <c r="D25" s="604"/>
      <c r="E25" s="604"/>
      <c r="F25" s="604"/>
      <c r="G25" s="604"/>
      <c r="H25" s="591" t="s">
        <v>114</v>
      </c>
      <c r="I25" s="593" t="s">
        <v>104</v>
      </c>
      <c r="J25" s="604"/>
      <c r="K25" s="604"/>
      <c r="L25" s="594">
        <v>1</v>
      </c>
      <c r="M25" s="605">
        <v>1</v>
      </c>
      <c r="N25" s="594">
        <v>9</v>
      </c>
      <c r="O25" s="595">
        <v>15000</v>
      </c>
      <c r="P25" s="606">
        <f>O25*N25*L25</f>
        <v>135000</v>
      </c>
      <c r="Q25" s="597"/>
      <c r="R25" s="597"/>
      <c r="S25" s="1697"/>
      <c r="U25" s="705">
        <v>0.64800000000000002</v>
      </c>
    </row>
    <row r="26" spans="1:21" s="608" customFormat="1" ht="22.5" customHeight="1">
      <c r="A26" s="607"/>
      <c r="C26" s="584" t="s">
        <v>352</v>
      </c>
      <c r="D26" s="585"/>
      <c r="E26" s="585"/>
      <c r="F26" s="585"/>
      <c r="G26" s="585"/>
      <c r="H26" s="585"/>
      <c r="I26" s="585"/>
      <c r="J26" s="585"/>
      <c r="K26" s="585"/>
      <c r="L26" s="609"/>
      <c r="M26" s="609"/>
      <c r="N26" s="609"/>
      <c r="O26" s="609"/>
      <c r="P26" s="610">
        <f>P27+P31+P36+P42+P51+P57+P66+P72+P81+P86+P91+P96+P101+P103+P105+P112+P122+P127+P131</f>
        <v>17626240</v>
      </c>
      <c r="Q26" s="611"/>
      <c r="R26" s="611"/>
      <c r="S26" s="1697"/>
      <c r="U26" s="710">
        <v>18.701599999999999</v>
      </c>
    </row>
    <row r="27" spans="1:21" s="608" customFormat="1" ht="22.5" customHeight="1">
      <c r="A27" s="607"/>
      <c r="C27" s="613" t="s">
        <v>353</v>
      </c>
      <c r="D27" s="614"/>
      <c r="E27" s="614"/>
      <c r="F27" s="614"/>
      <c r="G27" s="615"/>
      <c r="H27" s="615"/>
      <c r="I27" s="615"/>
      <c r="J27" s="615"/>
      <c r="K27" s="615"/>
      <c r="L27" s="604"/>
      <c r="M27" s="604"/>
      <c r="N27" s="604"/>
      <c r="O27" s="615"/>
      <c r="P27" s="601">
        <f>SUM(P28:P30)</f>
        <v>134540</v>
      </c>
      <c r="Q27" s="616"/>
      <c r="R27" s="617"/>
      <c r="S27" s="1697"/>
      <c r="T27" s="618"/>
      <c r="U27" s="709">
        <v>1.5817000000000001</v>
      </c>
    </row>
    <row r="28" spans="1:21" s="608" customFormat="1" ht="22.5" customHeight="1">
      <c r="A28" s="607"/>
      <c r="C28" s="1692" t="s">
        <v>354</v>
      </c>
      <c r="D28" s="1692"/>
      <c r="E28" s="1692"/>
      <c r="F28" s="1692"/>
      <c r="G28" s="615"/>
      <c r="H28" s="615"/>
      <c r="I28" s="615"/>
      <c r="J28" s="615"/>
      <c r="K28" s="615"/>
      <c r="L28" s="619">
        <v>620</v>
      </c>
      <c r="M28" s="620" t="s">
        <v>19</v>
      </c>
      <c r="N28" s="614"/>
      <c r="O28" s="619">
        <v>100</v>
      </c>
      <c r="P28" s="621">
        <f>O28*L28</f>
        <v>62000</v>
      </c>
      <c r="Q28" s="622"/>
      <c r="R28" s="622"/>
      <c r="S28" s="1697"/>
      <c r="T28" s="623"/>
      <c r="U28" s="709">
        <v>0.04</v>
      </c>
    </row>
    <row r="29" spans="1:21" s="608" customFormat="1" ht="22.5" customHeight="1">
      <c r="A29" s="607"/>
      <c r="C29" s="1688" t="s">
        <v>355</v>
      </c>
      <c r="D29" s="1688"/>
      <c r="E29" s="1688"/>
      <c r="F29" s="615"/>
      <c r="G29" s="615"/>
      <c r="H29" s="615"/>
      <c r="I29" s="615"/>
      <c r="J29" s="615"/>
      <c r="K29" s="615"/>
      <c r="L29" s="619">
        <v>620</v>
      </c>
      <c r="M29" s="620" t="s">
        <v>19</v>
      </c>
      <c r="N29" s="614"/>
      <c r="O29" s="619">
        <v>100</v>
      </c>
      <c r="P29" s="621">
        <f>O29*L29</f>
        <v>62000</v>
      </c>
      <c r="Q29" s="624"/>
      <c r="R29" s="624"/>
      <c r="S29" s="1697"/>
      <c r="T29" s="623"/>
      <c r="U29" s="709">
        <v>0.108</v>
      </c>
    </row>
    <row r="30" spans="1:21" s="608" customFormat="1" ht="22.5" customHeight="1">
      <c r="A30" s="1359"/>
      <c r="B30" s="1369"/>
      <c r="C30" s="1688" t="s">
        <v>356</v>
      </c>
      <c r="D30" s="1688"/>
      <c r="E30" s="615"/>
      <c r="F30" s="615"/>
      <c r="G30" s="615"/>
      <c r="H30" s="615"/>
      <c r="I30" s="615"/>
      <c r="J30" s="615"/>
      <c r="K30" s="615"/>
      <c r="L30" s="619">
        <v>620</v>
      </c>
      <c r="M30" s="620" t="s">
        <v>19</v>
      </c>
      <c r="N30" s="614"/>
      <c r="O30" s="619">
        <v>17</v>
      </c>
      <c r="P30" s="621">
        <f>O30*L30</f>
        <v>10540</v>
      </c>
      <c r="Q30" s="624"/>
      <c r="R30" s="624"/>
      <c r="S30" s="1698"/>
      <c r="T30" s="623"/>
      <c r="U30" s="709">
        <v>0.54</v>
      </c>
    </row>
    <row r="31" spans="1:21" s="608" customFormat="1" ht="22.5" customHeight="1">
      <c r="A31" s="607"/>
      <c r="C31" s="613" t="s">
        <v>357</v>
      </c>
      <c r="D31" s="614"/>
      <c r="E31" s="614"/>
      <c r="F31" s="615"/>
      <c r="G31" s="615"/>
      <c r="H31" s="615"/>
      <c r="I31" s="615"/>
      <c r="J31" s="615"/>
      <c r="K31" s="615"/>
      <c r="L31" s="604"/>
      <c r="M31" s="604"/>
      <c r="N31" s="604"/>
      <c r="O31" s="615"/>
      <c r="P31" s="625">
        <f>SUM(P32:P35)</f>
        <v>540400</v>
      </c>
      <c r="Q31" s="626"/>
      <c r="R31" s="626"/>
      <c r="S31" s="1697" t="s">
        <v>846</v>
      </c>
      <c r="T31" s="623"/>
      <c r="U31" s="709">
        <v>2.0484200000000001</v>
      </c>
    </row>
    <row r="32" spans="1:21" s="608" customFormat="1" ht="22.5" customHeight="1">
      <c r="A32" s="607"/>
      <c r="C32" s="627" t="s">
        <v>358</v>
      </c>
      <c r="D32" s="628"/>
      <c r="E32" s="615"/>
      <c r="F32" s="615"/>
      <c r="G32" s="615"/>
      <c r="H32" s="615"/>
      <c r="I32" s="615"/>
      <c r="J32" s="615"/>
      <c r="K32" s="615"/>
      <c r="L32" s="614">
        <v>5</v>
      </c>
      <c r="M32" s="620" t="s">
        <v>359</v>
      </c>
      <c r="N32" s="614"/>
      <c r="O32" s="619">
        <v>25000</v>
      </c>
      <c r="P32" s="629">
        <f>O32*L32</f>
        <v>125000</v>
      </c>
      <c r="Q32" s="624"/>
      <c r="R32" s="624"/>
      <c r="S32" s="1697"/>
      <c r="U32" s="709">
        <v>0.03</v>
      </c>
    </row>
    <row r="33" spans="1:21" s="608" customFormat="1" ht="22.5" customHeight="1">
      <c r="A33" s="607"/>
      <c r="C33" s="630" t="s">
        <v>360</v>
      </c>
      <c r="D33" s="628"/>
      <c r="E33" s="615"/>
      <c r="F33" s="615"/>
      <c r="G33" s="615"/>
      <c r="H33" s="615"/>
      <c r="I33" s="615"/>
      <c r="J33" s="615"/>
      <c r="K33" s="615"/>
      <c r="L33" s="614">
        <v>620</v>
      </c>
      <c r="M33" s="620" t="s">
        <v>361</v>
      </c>
      <c r="N33" s="614"/>
      <c r="O33" s="619">
        <v>100</v>
      </c>
      <c r="P33" s="629">
        <f>O33*L33</f>
        <v>62000</v>
      </c>
      <c r="Q33" s="631"/>
      <c r="R33" s="631"/>
      <c r="S33" s="1697"/>
      <c r="U33" s="709">
        <v>2.5000000000000001E-2</v>
      </c>
    </row>
    <row r="34" spans="1:21" s="608" customFormat="1" ht="22.5" customHeight="1">
      <c r="A34" s="607"/>
      <c r="C34" s="630" t="s">
        <v>362</v>
      </c>
      <c r="D34" s="632"/>
      <c r="E34" s="615"/>
      <c r="F34" s="615"/>
      <c r="G34" s="615"/>
      <c r="H34" s="615"/>
      <c r="I34" s="615"/>
      <c r="J34" s="615"/>
      <c r="K34" s="615"/>
      <c r="L34" s="614">
        <v>620</v>
      </c>
      <c r="M34" s="620" t="s">
        <v>361</v>
      </c>
      <c r="N34" s="614"/>
      <c r="O34" s="619">
        <v>500</v>
      </c>
      <c r="P34" s="629">
        <f>O34*L34</f>
        <v>310000</v>
      </c>
      <c r="Q34" s="631"/>
      <c r="R34" s="631"/>
      <c r="S34" s="1697"/>
      <c r="U34" s="709">
        <v>5.0000000000000001E-3</v>
      </c>
    </row>
    <row r="35" spans="1:21" s="608" customFormat="1" ht="22.5" customHeight="1">
      <c r="A35" s="607"/>
      <c r="C35" s="630" t="s">
        <v>363</v>
      </c>
      <c r="D35" s="632"/>
      <c r="E35" s="615"/>
      <c r="F35" s="615"/>
      <c r="G35" s="615"/>
      <c r="H35" s="615"/>
      <c r="I35" s="615"/>
      <c r="J35" s="615"/>
      <c r="K35" s="615"/>
      <c r="L35" s="614">
        <v>620</v>
      </c>
      <c r="M35" s="620" t="s">
        <v>19</v>
      </c>
      <c r="N35" s="614"/>
      <c r="O35" s="619">
        <v>70</v>
      </c>
      <c r="P35" s="629">
        <f>O35*L35</f>
        <v>43400</v>
      </c>
      <c r="Q35" s="631"/>
      <c r="R35" s="631"/>
      <c r="S35" s="1697"/>
      <c r="U35" s="709"/>
    </row>
    <row r="36" spans="1:21" s="608" customFormat="1" ht="22.5" customHeight="1">
      <c r="A36" s="607"/>
      <c r="C36" s="633" t="s">
        <v>364</v>
      </c>
      <c r="D36" s="634"/>
      <c r="E36" s="635"/>
      <c r="F36" s="635"/>
      <c r="G36" s="615"/>
      <c r="H36" s="615"/>
      <c r="I36" s="615"/>
      <c r="J36" s="615"/>
      <c r="K36" s="615"/>
      <c r="L36" s="609"/>
      <c r="M36" s="609"/>
      <c r="N36" s="609"/>
      <c r="O36" s="609"/>
      <c r="P36" s="636">
        <f>SUM(P37:P41)</f>
        <v>567000</v>
      </c>
      <c r="Q36" s="637"/>
      <c r="R36" s="637"/>
      <c r="S36" s="1697"/>
      <c r="U36" s="709">
        <v>0.13139999999999999</v>
      </c>
    </row>
    <row r="37" spans="1:21" s="608" customFormat="1" ht="22.5" customHeight="1">
      <c r="A37" s="607"/>
      <c r="C37" s="627" t="s">
        <v>365</v>
      </c>
      <c r="D37" s="628"/>
      <c r="E37" s="615"/>
      <c r="F37" s="615"/>
      <c r="G37" s="615"/>
      <c r="H37" s="615"/>
      <c r="I37" s="615"/>
      <c r="J37" s="615"/>
      <c r="K37" s="615"/>
      <c r="L37" s="619">
        <v>4</v>
      </c>
      <c r="M37" s="620" t="s">
        <v>18</v>
      </c>
      <c r="N37" s="614"/>
      <c r="O37" s="619">
        <v>10000</v>
      </c>
      <c r="P37" s="621">
        <f>O37*L37</f>
        <v>40000</v>
      </c>
      <c r="Q37" s="624"/>
      <c r="R37" s="624"/>
      <c r="S37" s="1697"/>
      <c r="U37" s="709">
        <v>1.44E-2</v>
      </c>
    </row>
    <row r="38" spans="1:21" s="608" customFormat="1" ht="22.5" customHeight="1">
      <c r="A38" s="607"/>
      <c r="C38" s="627" t="s">
        <v>366</v>
      </c>
      <c r="D38" s="615"/>
      <c r="E38" s="615"/>
      <c r="F38" s="615"/>
      <c r="G38" s="615"/>
      <c r="H38" s="615"/>
      <c r="I38" s="615"/>
      <c r="J38" s="615"/>
      <c r="K38" s="615"/>
      <c r="L38" s="614">
        <v>140</v>
      </c>
      <c r="M38" s="620" t="s">
        <v>367</v>
      </c>
      <c r="N38" s="614"/>
      <c r="O38" s="619">
        <v>1200</v>
      </c>
      <c r="P38" s="621">
        <f>O38*L38</f>
        <v>168000</v>
      </c>
      <c r="Q38" s="624"/>
      <c r="R38" s="624"/>
      <c r="S38" s="1698"/>
      <c r="U38" s="709">
        <v>7.1999999999999995E-2</v>
      </c>
    </row>
    <row r="39" spans="1:21" s="608" customFormat="1" ht="44.25" customHeight="1">
      <c r="A39" s="607"/>
      <c r="C39" s="638" t="s">
        <v>368</v>
      </c>
      <c r="D39" s="628"/>
      <c r="E39" s="615"/>
      <c r="F39" s="615"/>
      <c r="G39" s="615"/>
      <c r="H39" s="615"/>
      <c r="I39" s="615"/>
      <c r="J39" s="615"/>
      <c r="K39" s="615"/>
      <c r="L39" s="676">
        <v>540</v>
      </c>
      <c r="M39" s="677" t="s">
        <v>361</v>
      </c>
      <c r="N39" s="678"/>
      <c r="O39" s="676">
        <v>500</v>
      </c>
      <c r="P39" s="660">
        <f>O39*L39</f>
        <v>270000</v>
      </c>
      <c r="Q39" s="622"/>
      <c r="R39" s="622"/>
      <c r="S39" s="594" t="s">
        <v>847</v>
      </c>
      <c r="U39" s="709">
        <v>4.4999999999999998E-2</v>
      </c>
    </row>
    <row r="40" spans="1:21" s="608" customFormat="1" ht="22.5" customHeight="1">
      <c r="A40" s="607"/>
      <c r="C40" s="639" t="s">
        <v>369</v>
      </c>
      <c r="D40" s="628"/>
      <c r="E40" s="615"/>
      <c r="F40" s="615"/>
      <c r="G40" s="615"/>
      <c r="H40" s="615"/>
      <c r="I40" s="615"/>
      <c r="J40" s="615"/>
      <c r="K40" s="615"/>
      <c r="L40" s="619">
        <v>1080</v>
      </c>
      <c r="M40" s="620" t="s">
        <v>361</v>
      </c>
      <c r="N40" s="614"/>
      <c r="O40" s="619">
        <v>50</v>
      </c>
      <c r="P40" s="621">
        <f>O40*L40</f>
        <v>54000</v>
      </c>
      <c r="Q40" s="637"/>
      <c r="R40" s="637"/>
      <c r="S40" s="1360" t="s">
        <v>187</v>
      </c>
      <c r="U40" s="709">
        <v>0.83740000000000003</v>
      </c>
    </row>
    <row r="41" spans="1:21" s="608" customFormat="1" ht="22.5" customHeight="1">
      <c r="A41" s="607"/>
      <c r="C41" s="1331" t="s">
        <v>370</v>
      </c>
      <c r="D41" s="628"/>
      <c r="E41" s="615"/>
      <c r="F41" s="615"/>
      <c r="G41" s="615"/>
      <c r="H41" s="615"/>
      <c r="I41" s="615"/>
      <c r="J41" s="615"/>
      <c r="K41" s="615"/>
      <c r="L41" s="619">
        <v>500</v>
      </c>
      <c r="M41" s="620" t="s">
        <v>371</v>
      </c>
      <c r="N41" s="614"/>
      <c r="O41" s="619">
        <v>70</v>
      </c>
      <c r="P41" s="621">
        <f>O41*L41</f>
        <v>35000</v>
      </c>
      <c r="Q41" s="624"/>
      <c r="R41" s="624"/>
      <c r="S41" s="1676" t="s">
        <v>845</v>
      </c>
      <c r="U41" s="709">
        <v>0.6</v>
      </c>
    </row>
    <row r="42" spans="1:21" s="608" customFormat="1" ht="22.5" customHeight="1">
      <c r="A42" s="607"/>
      <c r="C42" s="633" t="s">
        <v>372</v>
      </c>
      <c r="D42" s="640"/>
      <c r="E42" s="614"/>
      <c r="F42" s="615"/>
      <c r="G42" s="615"/>
      <c r="H42" s="615"/>
      <c r="I42" s="615"/>
      <c r="J42" s="615"/>
      <c r="K42" s="615"/>
      <c r="L42" s="641"/>
      <c r="M42" s="641"/>
      <c r="N42" s="641"/>
      <c r="O42" s="641"/>
      <c r="P42" s="636">
        <f>SUM(P43:P50)</f>
        <v>4173050</v>
      </c>
      <c r="Q42" s="637"/>
      <c r="R42" s="637"/>
      <c r="S42" s="1677"/>
      <c r="U42" s="709">
        <v>0.22739999999999999</v>
      </c>
    </row>
    <row r="43" spans="1:21" s="608" customFormat="1" ht="22.5" customHeight="1">
      <c r="A43" s="607"/>
      <c r="C43" s="642" t="s">
        <v>373</v>
      </c>
      <c r="D43" s="628"/>
      <c r="E43" s="615"/>
      <c r="F43" s="615"/>
      <c r="G43" s="615"/>
      <c r="H43" s="615"/>
      <c r="I43" s="615"/>
      <c r="J43" s="615"/>
      <c r="K43" s="615"/>
      <c r="L43" s="614">
        <v>380</v>
      </c>
      <c r="M43" s="620" t="s">
        <v>374</v>
      </c>
      <c r="N43" s="614"/>
      <c r="O43" s="619">
        <v>200</v>
      </c>
      <c r="P43" s="629">
        <f t="shared" ref="P43:P50" si="1">O43*L43</f>
        <v>76000</v>
      </c>
      <c r="Q43" s="631"/>
      <c r="R43" s="631"/>
      <c r="S43" s="1677"/>
      <c r="U43" s="709">
        <v>4.8000000000000001E-2</v>
      </c>
    </row>
    <row r="44" spans="1:21" s="608" customFormat="1" ht="22.5" customHeight="1">
      <c r="A44" s="607"/>
      <c r="C44" s="643" t="s">
        <v>375</v>
      </c>
      <c r="D44" s="628"/>
      <c r="E44" s="615"/>
      <c r="F44" s="615"/>
      <c r="G44" s="615"/>
      <c r="H44" s="615"/>
      <c r="I44" s="615"/>
      <c r="J44" s="615"/>
      <c r="K44" s="615"/>
      <c r="L44" s="614">
        <v>380</v>
      </c>
      <c r="M44" s="620" t="s">
        <v>374</v>
      </c>
      <c r="N44" s="614"/>
      <c r="O44" s="619">
        <v>2500</v>
      </c>
      <c r="P44" s="629">
        <f t="shared" si="1"/>
        <v>950000</v>
      </c>
      <c r="Q44" s="631"/>
      <c r="R44" s="631"/>
      <c r="S44" s="1677"/>
      <c r="U44" s="709">
        <v>4.8000000000000001E-2</v>
      </c>
    </row>
    <row r="45" spans="1:21" s="608" customFormat="1" ht="22.5" customHeight="1">
      <c r="A45" s="607"/>
      <c r="C45" s="643" t="s">
        <v>376</v>
      </c>
      <c r="D45" s="628"/>
      <c r="E45" s="615"/>
      <c r="F45" s="615"/>
      <c r="G45" s="615"/>
      <c r="H45" s="615"/>
      <c r="I45" s="615"/>
      <c r="J45" s="615"/>
      <c r="K45" s="615"/>
      <c r="L45" s="619">
        <v>760</v>
      </c>
      <c r="M45" s="620" t="s">
        <v>17</v>
      </c>
      <c r="N45" s="614"/>
      <c r="O45" s="619">
        <v>240</v>
      </c>
      <c r="P45" s="629">
        <f t="shared" si="1"/>
        <v>182400</v>
      </c>
      <c r="Q45" s="631"/>
      <c r="R45" s="631"/>
      <c r="S45" s="1677"/>
      <c r="U45" s="709">
        <v>1.44E-2</v>
      </c>
    </row>
    <row r="46" spans="1:21" s="608" customFormat="1" ht="22.5" customHeight="1">
      <c r="A46" s="607"/>
      <c r="C46" s="1331" t="s">
        <v>377</v>
      </c>
      <c r="D46" s="615"/>
      <c r="E46" s="615"/>
      <c r="F46" s="615"/>
      <c r="G46" s="615"/>
      <c r="H46" s="615"/>
      <c r="I46" s="615"/>
      <c r="J46" s="615"/>
      <c r="K46" s="615"/>
      <c r="L46" s="614">
        <v>190</v>
      </c>
      <c r="M46" s="620" t="s">
        <v>17</v>
      </c>
      <c r="N46" s="614"/>
      <c r="O46" s="619">
        <v>800</v>
      </c>
      <c r="P46" s="629">
        <f t="shared" si="1"/>
        <v>152000</v>
      </c>
      <c r="Q46" s="631"/>
      <c r="R46" s="631"/>
      <c r="S46" s="1677"/>
      <c r="U46" s="709">
        <v>7.1999999999999995E-2</v>
      </c>
    </row>
    <row r="47" spans="1:21" s="608" customFormat="1" ht="22.5" customHeight="1">
      <c r="A47" s="607"/>
      <c r="C47" s="1331" t="s">
        <v>378</v>
      </c>
      <c r="D47" s="628"/>
      <c r="E47" s="615"/>
      <c r="F47" s="615"/>
      <c r="G47" s="615"/>
      <c r="H47" s="615"/>
      <c r="I47" s="615"/>
      <c r="J47" s="615"/>
      <c r="K47" s="615"/>
      <c r="L47" s="619">
        <v>180</v>
      </c>
      <c r="M47" s="620" t="s">
        <v>379</v>
      </c>
      <c r="N47" s="614"/>
      <c r="O47" s="619">
        <v>2500</v>
      </c>
      <c r="P47" s="629">
        <f t="shared" si="1"/>
        <v>450000</v>
      </c>
      <c r="Q47" s="644"/>
      <c r="R47" s="644"/>
      <c r="S47" s="1677"/>
      <c r="U47" s="709">
        <v>4.4999999999999998E-2</v>
      </c>
    </row>
    <row r="48" spans="1:21" s="608" customFormat="1" ht="22.5" customHeight="1">
      <c r="A48" s="607"/>
      <c r="C48" s="612" t="s">
        <v>380</v>
      </c>
      <c r="D48" s="628"/>
      <c r="E48" s="615"/>
      <c r="F48" s="615"/>
      <c r="G48" s="615"/>
      <c r="H48" s="615"/>
      <c r="I48" s="615"/>
      <c r="J48" s="615"/>
      <c r="K48" s="615"/>
      <c r="L48" s="619">
        <v>380</v>
      </c>
      <c r="M48" s="620" t="s">
        <v>17</v>
      </c>
      <c r="N48" s="614"/>
      <c r="O48" s="619">
        <v>1200</v>
      </c>
      <c r="P48" s="629">
        <f t="shared" si="1"/>
        <v>456000</v>
      </c>
      <c r="Q48" s="645"/>
      <c r="R48" s="645"/>
      <c r="S48" s="1677"/>
      <c r="U48" s="709">
        <v>0.97609999999999997</v>
      </c>
    </row>
    <row r="49" spans="1:21" s="608" customFormat="1" ht="22.5" customHeight="1">
      <c r="A49" s="607"/>
      <c r="C49" s="1331" t="s">
        <v>381</v>
      </c>
      <c r="D49" s="628"/>
      <c r="E49" s="615"/>
      <c r="F49" s="615"/>
      <c r="G49" s="615"/>
      <c r="H49" s="615"/>
      <c r="I49" s="615"/>
      <c r="J49" s="615"/>
      <c r="K49" s="615"/>
      <c r="L49" s="619">
        <v>95</v>
      </c>
      <c r="M49" s="620" t="s">
        <v>19</v>
      </c>
      <c r="N49" s="614"/>
      <c r="O49" s="619">
        <v>70</v>
      </c>
      <c r="P49" s="621">
        <f t="shared" si="1"/>
        <v>6650</v>
      </c>
      <c r="Q49" s="622"/>
      <c r="R49" s="622"/>
      <c r="S49" s="1677"/>
      <c r="U49" s="709">
        <v>0.02</v>
      </c>
    </row>
    <row r="50" spans="1:21" s="608" customFormat="1" ht="22.5" customHeight="1">
      <c r="A50" s="607"/>
      <c r="C50" s="1331" t="s">
        <v>382</v>
      </c>
      <c r="D50" s="632"/>
      <c r="E50" s="615"/>
      <c r="F50" s="615"/>
      <c r="G50" s="615"/>
      <c r="H50" s="615"/>
      <c r="I50" s="615"/>
      <c r="J50" s="615"/>
      <c r="K50" s="615"/>
      <c r="L50" s="619">
        <v>380</v>
      </c>
      <c r="M50" s="620" t="s">
        <v>17</v>
      </c>
      <c r="N50" s="614"/>
      <c r="O50" s="619">
        <v>5000</v>
      </c>
      <c r="P50" s="621">
        <f t="shared" si="1"/>
        <v>1900000</v>
      </c>
      <c r="Q50" s="624"/>
      <c r="R50" s="624"/>
      <c r="S50" s="1677"/>
      <c r="U50" s="709">
        <v>0.06</v>
      </c>
    </row>
    <row r="51" spans="1:21" s="608" customFormat="1" ht="22.5" customHeight="1">
      <c r="A51" s="607"/>
      <c r="C51" s="633" t="s">
        <v>383</v>
      </c>
      <c r="D51" s="628"/>
      <c r="E51" s="615"/>
      <c r="F51" s="615"/>
      <c r="G51" s="615"/>
      <c r="H51" s="615"/>
      <c r="I51" s="615"/>
      <c r="J51" s="615"/>
      <c r="K51" s="615"/>
      <c r="L51" s="641"/>
      <c r="M51" s="641"/>
      <c r="N51" s="641"/>
      <c r="O51" s="641"/>
      <c r="P51" s="636">
        <f>SUM(P52:P56)</f>
        <v>665750</v>
      </c>
      <c r="Q51" s="645"/>
      <c r="R51" s="646"/>
      <c r="S51" s="1677"/>
      <c r="U51" s="709">
        <v>0.40760999999999997</v>
      </c>
    </row>
    <row r="52" spans="1:21" s="608" customFormat="1" ht="22.5" customHeight="1">
      <c r="A52" s="607"/>
      <c r="C52" s="1331" t="s">
        <v>384</v>
      </c>
      <c r="D52" s="628"/>
      <c r="E52" s="615"/>
      <c r="F52" s="615"/>
      <c r="G52" s="615"/>
      <c r="H52" s="615"/>
      <c r="I52" s="615"/>
      <c r="J52" s="615"/>
      <c r="K52" s="615"/>
      <c r="L52" s="619">
        <v>100</v>
      </c>
      <c r="M52" s="620" t="s">
        <v>385</v>
      </c>
      <c r="N52" s="614"/>
      <c r="O52" s="619">
        <v>2500</v>
      </c>
      <c r="P52" s="621">
        <f>O52*L52</f>
        <v>250000</v>
      </c>
      <c r="Q52" s="624"/>
      <c r="R52" s="624"/>
      <c r="S52" s="1677"/>
      <c r="U52" s="709">
        <v>0.25</v>
      </c>
    </row>
    <row r="53" spans="1:21" s="608" customFormat="1" ht="22.5" customHeight="1">
      <c r="A53" s="607"/>
      <c r="C53" s="1331" t="s">
        <v>386</v>
      </c>
      <c r="D53" s="628"/>
      <c r="E53" s="615"/>
      <c r="F53" s="615"/>
      <c r="G53" s="615"/>
      <c r="H53" s="615"/>
      <c r="I53" s="615"/>
      <c r="J53" s="615"/>
      <c r="K53" s="615"/>
      <c r="L53" s="619">
        <v>100</v>
      </c>
      <c r="M53" s="620" t="s">
        <v>17</v>
      </c>
      <c r="N53" s="614"/>
      <c r="O53" s="619">
        <v>240</v>
      </c>
      <c r="P53" s="621">
        <f>O53*L53</f>
        <v>24000</v>
      </c>
      <c r="Q53" s="622"/>
      <c r="R53" s="622"/>
      <c r="S53" s="1677"/>
      <c r="U53" s="709">
        <v>0.02</v>
      </c>
    </row>
    <row r="54" spans="1:21" s="608" customFormat="1" ht="22.5" customHeight="1">
      <c r="A54" s="1359"/>
      <c r="B54" s="1369"/>
      <c r="C54" s="647" t="s">
        <v>387</v>
      </c>
      <c r="D54" s="632"/>
      <c r="E54" s="615"/>
      <c r="F54" s="615"/>
      <c r="G54" s="615"/>
      <c r="H54" s="615"/>
      <c r="I54" s="615"/>
      <c r="J54" s="615"/>
      <c r="K54" s="615"/>
      <c r="L54" s="619">
        <v>300</v>
      </c>
      <c r="M54" s="620" t="s">
        <v>17</v>
      </c>
      <c r="N54" s="614"/>
      <c r="O54" s="619">
        <v>800</v>
      </c>
      <c r="P54" s="621">
        <f>O54*L54</f>
        <v>240000</v>
      </c>
      <c r="Q54" s="624"/>
      <c r="R54" s="624"/>
      <c r="S54" s="1678"/>
      <c r="U54" s="709">
        <v>0.06</v>
      </c>
    </row>
    <row r="55" spans="1:21" s="608" customFormat="1" ht="22.5" customHeight="1">
      <c r="A55" s="607"/>
      <c r="C55" s="1361" t="s">
        <v>388</v>
      </c>
      <c r="D55" s="1362"/>
      <c r="E55" s="1362"/>
      <c r="F55" s="1362"/>
      <c r="G55" s="1362"/>
      <c r="H55" s="1362"/>
      <c r="I55" s="1362"/>
      <c r="J55" s="1362"/>
      <c r="K55" s="1362"/>
      <c r="L55" s="1363">
        <v>300</v>
      </c>
      <c r="M55" s="1364" t="s">
        <v>389</v>
      </c>
      <c r="N55" s="1365"/>
      <c r="O55" s="1363">
        <v>500</v>
      </c>
      <c r="P55" s="1366">
        <f>O55*L55</f>
        <v>150000</v>
      </c>
      <c r="Q55" s="1367"/>
      <c r="R55" s="1367"/>
      <c r="S55" s="1368"/>
      <c r="U55" s="709">
        <v>8.3999999999999995E-3</v>
      </c>
    </row>
    <row r="56" spans="1:21" s="608" customFormat="1" ht="22.5" customHeight="1">
      <c r="A56" s="607"/>
      <c r="C56" s="627" t="s">
        <v>390</v>
      </c>
      <c r="D56" s="628"/>
      <c r="E56" s="615"/>
      <c r="F56" s="615"/>
      <c r="G56" s="615"/>
      <c r="H56" s="615"/>
      <c r="I56" s="615"/>
      <c r="J56" s="615"/>
      <c r="K56" s="615"/>
      <c r="L56" s="619">
        <v>25</v>
      </c>
      <c r="M56" s="620" t="s">
        <v>19</v>
      </c>
      <c r="N56" s="614"/>
      <c r="O56" s="619">
        <v>70</v>
      </c>
      <c r="P56" s="621">
        <f>O56*L56</f>
        <v>1750</v>
      </c>
      <c r="Q56" s="648"/>
      <c r="R56" s="648"/>
      <c r="S56" s="1368"/>
      <c r="U56" s="709">
        <v>9.6000000000000002E-4</v>
      </c>
    </row>
    <row r="57" spans="1:21" s="608" customFormat="1" ht="22.5" customHeight="1">
      <c r="A57" s="607"/>
      <c r="C57" s="633" t="s">
        <v>848</v>
      </c>
      <c r="D57" s="628"/>
      <c r="E57" s="615"/>
      <c r="F57" s="615"/>
      <c r="G57" s="615"/>
      <c r="H57" s="615"/>
      <c r="I57" s="615"/>
      <c r="J57" s="615"/>
      <c r="K57" s="615"/>
      <c r="L57" s="641"/>
      <c r="M57" s="641"/>
      <c r="N57" s="641"/>
      <c r="O57" s="641"/>
      <c r="P57" s="636">
        <f>SUM(P58:P65)</f>
        <v>4142000</v>
      </c>
      <c r="Q57" s="637"/>
      <c r="R57" s="637"/>
      <c r="S57" s="1368"/>
      <c r="U57" s="709">
        <v>5.6999999999999995E-2</v>
      </c>
    </row>
    <row r="58" spans="1:21" s="608" customFormat="1" ht="22.5" customHeight="1">
      <c r="A58" s="607"/>
      <c r="C58" s="649" t="s">
        <v>391</v>
      </c>
      <c r="D58" s="640"/>
      <c r="E58" s="614"/>
      <c r="F58" s="615"/>
      <c r="G58" s="615"/>
      <c r="H58" s="615"/>
      <c r="I58" s="615"/>
      <c r="J58" s="615"/>
      <c r="K58" s="615"/>
      <c r="L58" s="619">
        <v>800</v>
      </c>
      <c r="M58" s="620" t="s">
        <v>18</v>
      </c>
      <c r="N58" s="614"/>
      <c r="O58" s="619">
        <v>200</v>
      </c>
      <c r="P58" s="621">
        <f>O58*L58</f>
        <v>160000</v>
      </c>
      <c r="Q58" s="624"/>
      <c r="R58" s="624"/>
      <c r="S58" s="1368"/>
      <c r="U58" s="709">
        <v>0.01</v>
      </c>
    </row>
    <row r="59" spans="1:21" s="608" customFormat="1" ht="22.5" customHeight="1">
      <c r="A59" s="607"/>
      <c r="C59" s="650" t="s">
        <v>392</v>
      </c>
      <c r="D59" s="640"/>
      <c r="E59" s="614"/>
      <c r="F59" s="615"/>
      <c r="G59" s="615"/>
      <c r="H59" s="615"/>
      <c r="I59" s="615"/>
      <c r="J59" s="615"/>
      <c r="K59" s="615"/>
      <c r="L59" s="614">
        <v>400</v>
      </c>
      <c r="M59" s="620" t="s">
        <v>17</v>
      </c>
      <c r="N59" s="614"/>
      <c r="O59" s="619">
        <v>2500</v>
      </c>
      <c r="P59" s="621">
        <f>SUM(O59*L59)</f>
        <v>1000000</v>
      </c>
      <c r="Q59" s="624"/>
      <c r="R59" s="624"/>
      <c r="S59" s="1368"/>
      <c r="U59" s="709">
        <v>5.0000000000000001E-3</v>
      </c>
    </row>
    <row r="60" spans="1:21" s="608" customFormat="1" ht="22.5" customHeight="1">
      <c r="A60" s="607"/>
      <c r="C60" s="598" t="s">
        <v>393</v>
      </c>
      <c r="D60" s="640"/>
      <c r="E60" s="614"/>
      <c r="F60" s="615"/>
      <c r="G60" s="615"/>
      <c r="H60" s="615"/>
      <c r="I60" s="615"/>
      <c r="J60" s="615"/>
      <c r="K60" s="615"/>
      <c r="L60" s="614">
        <v>1600</v>
      </c>
      <c r="M60" s="620" t="s">
        <v>17</v>
      </c>
      <c r="N60" s="614"/>
      <c r="O60" s="619">
        <v>240</v>
      </c>
      <c r="P60" s="621">
        <f t="shared" ref="P60:P65" si="2">O60*L60</f>
        <v>384000</v>
      </c>
      <c r="Q60" s="624"/>
      <c r="R60" s="624"/>
      <c r="S60" s="1368"/>
      <c r="U60" s="709">
        <v>1.2E-2</v>
      </c>
    </row>
    <row r="61" spans="1:21" s="608" customFormat="1" ht="22.5" customHeight="1">
      <c r="A61" s="607"/>
      <c r="C61" s="598" t="s">
        <v>394</v>
      </c>
      <c r="D61" s="614"/>
      <c r="E61" s="614"/>
      <c r="F61" s="604"/>
      <c r="G61" s="604"/>
      <c r="H61" s="604"/>
      <c r="I61" s="604"/>
      <c r="J61" s="604"/>
      <c r="K61" s="604"/>
      <c r="L61" s="594">
        <v>800</v>
      </c>
      <c r="M61" s="620" t="s">
        <v>17</v>
      </c>
      <c r="N61" s="594"/>
      <c r="O61" s="595">
        <v>800</v>
      </c>
      <c r="P61" s="621">
        <f t="shared" si="2"/>
        <v>640000</v>
      </c>
      <c r="Q61" s="624"/>
      <c r="R61" s="624"/>
      <c r="S61" s="1368"/>
      <c r="U61" s="709">
        <v>0.03</v>
      </c>
    </row>
    <row r="62" spans="1:21" s="608" customFormat="1" ht="22.5" customHeight="1">
      <c r="A62" s="607"/>
      <c r="C62" s="598" t="s">
        <v>395</v>
      </c>
      <c r="D62" s="614"/>
      <c r="E62" s="614"/>
      <c r="F62" s="604"/>
      <c r="G62" s="604"/>
      <c r="H62" s="604"/>
      <c r="I62" s="604"/>
      <c r="J62" s="604"/>
      <c r="K62" s="604"/>
      <c r="L62" s="594">
        <v>180</v>
      </c>
      <c r="M62" s="620" t="s">
        <v>379</v>
      </c>
      <c r="N62" s="594"/>
      <c r="O62" s="595">
        <v>2500</v>
      </c>
      <c r="P62" s="621">
        <f t="shared" si="2"/>
        <v>450000</v>
      </c>
      <c r="Q62" s="624"/>
      <c r="R62" s="624"/>
      <c r="S62" s="594"/>
      <c r="U62" s="709"/>
    </row>
    <row r="63" spans="1:21" s="608" customFormat="1" ht="22.5" customHeight="1">
      <c r="A63" s="607"/>
      <c r="C63" s="598" t="s">
        <v>396</v>
      </c>
      <c r="D63" s="614"/>
      <c r="E63" s="614"/>
      <c r="F63" s="604"/>
      <c r="G63" s="604"/>
      <c r="H63" s="604"/>
      <c r="I63" s="604"/>
      <c r="J63" s="604"/>
      <c r="K63" s="604"/>
      <c r="L63" s="594">
        <v>400</v>
      </c>
      <c r="M63" s="620" t="s">
        <v>17</v>
      </c>
      <c r="N63" s="594"/>
      <c r="O63" s="595">
        <v>1200</v>
      </c>
      <c r="P63" s="621">
        <f t="shared" si="2"/>
        <v>480000</v>
      </c>
      <c r="Q63" s="624"/>
      <c r="R63" s="624"/>
      <c r="S63" s="594"/>
      <c r="U63" s="709"/>
    </row>
    <row r="64" spans="1:21" s="608" customFormat="1" ht="22.5" customHeight="1">
      <c r="A64" s="607"/>
      <c r="C64" s="598" t="s">
        <v>397</v>
      </c>
      <c r="D64" s="651"/>
      <c r="E64" s="614"/>
      <c r="F64" s="614"/>
      <c r="G64" s="615"/>
      <c r="H64" s="615"/>
      <c r="I64" s="615"/>
      <c r="J64" s="615"/>
      <c r="K64" s="615"/>
      <c r="L64" s="614">
        <v>200</v>
      </c>
      <c r="M64" s="620" t="s">
        <v>17</v>
      </c>
      <c r="N64" s="652"/>
      <c r="O64" s="653">
        <v>5000</v>
      </c>
      <c r="P64" s="621">
        <f t="shared" si="2"/>
        <v>1000000</v>
      </c>
      <c r="Q64" s="654"/>
      <c r="R64" s="654"/>
      <c r="S64" s="594"/>
      <c r="U64" s="709">
        <v>0.28819</v>
      </c>
    </row>
    <row r="65" spans="1:21" s="608" customFormat="1" ht="22.5" customHeight="1">
      <c r="A65" s="607"/>
      <c r="C65" s="598" t="s">
        <v>398</v>
      </c>
      <c r="D65" s="614"/>
      <c r="E65" s="614"/>
      <c r="F65" s="615"/>
      <c r="G65" s="615"/>
      <c r="H65" s="615"/>
      <c r="I65" s="615"/>
      <c r="J65" s="615"/>
      <c r="K65" s="615"/>
      <c r="L65" s="614">
        <v>400</v>
      </c>
      <c r="M65" s="620" t="s">
        <v>19</v>
      </c>
      <c r="N65" s="614"/>
      <c r="O65" s="619">
        <v>70</v>
      </c>
      <c r="P65" s="621">
        <f t="shared" si="2"/>
        <v>28000</v>
      </c>
      <c r="Q65" s="631"/>
      <c r="R65" s="631"/>
      <c r="S65" s="594"/>
      <c r="U65" s="709">
        <v>0.12</v>
      </c>
    </row>
    <row r="66" spans="1:21" s="608" customFormat="1" ht="22.5" customHeight="1">
      <c r="A66" s="607"/>
      <c r="C66" s="655" t="s">
        <v>399</v>
      </c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5"/>
      <c r="O66" s="615"/>
      <c r="P66" s="625">
        <f>SUM(P67:P71)</f>
        <v>695000</v>
      </c>
      <c r="Q66" s="626"/>
      <c r="R66" s="626"/>
      <c r="S66" s="594"/>
      <c r="T66" s="623"/>
      <c r="U66" s="709">
        <v>4.02285</v>
      </c>
    </row>
    <row r="67" spans="1:21" s="608" customFormat="1" ht="22.5" customHeight="1">
      <c r="A67" s="607"/>
      <c r="C67" s="627" t="s">
        <v>400</v>
      </c>
      <c r="D67" s="640"/>
      <c r="E67" s="615"/>
      <c r="F67" s="615"/>
      <c r="G67" s="615"/>
      <c r="H67" s="615"/>
      <c r="I67" s="615"/>
      <c r="J67" s="615"/>
      <c r="K67" s="615"/>
      <c r="L67" s="619">
        <v>100</v>
      </c>
      <c r="M67" s="620" t="s">
        <v>18</v>
      </c>
      <c r="N67" s="614"/>
      <c r="O67" s="619">
        <v>2500</v>
      </c>
      <c r="P67" s="621">
        <f>O67*L67</f>
        <v>250000</v>
      </c>
      <c r="Q67" s="656"/>
      <c r="R67" s="622"/>
      <c r="S67" s="594"/>
      <c r="T67" s="623"/>
      <c r="U67" s="709">
        <v>0.02</v>
      </c>
    </row>
    <row r="68" spans="1:21" s="608" customFormat="1" ht="22.5" customHeight="1">
      <c r="A68" s="607"/>
      <c r="C68" s="627" t="s">
        <v>401</v>
      </c>
      <c r="D68" s="615"/>
      <c r="E68" s="615"/>
      <c r="F68" s="615"/>
      <c r="G68" s="615"/>
      <c r="H68" s="615"/>
      <c r="I68" s="615"/>
      <c r="J68" s="615"/>
      <c r="K68" s="615"/>
      <c r="L68" s="619">
        <v>200</v>
      </c>
      <c r="M68" s="620" t="s">
        <v>17</v>
      </c>
      <c r="N68" s="614"/>
      <c r="O68" s="619">
        <v>240</v>
      </c>
      <c r="P68" s="621">
        <f>O68*L68</f>
        <v>48000</v>
      </c>
      <c r="Q68" s="624"/>
      <c r="R68" s="624"/>
      <c r="S68" s="594"/>
      <c r="U68" s="709">
        <v>0.06</v>
      </c>
    </row>
    <row r="69" spans="1:21" s="608" customFormat="1" ht="22.5" customHeight="1">
      <c r="A69" s="607"/>
      <c r="C69" s="647" t="s">
        <v>402</v>
      </c>
      <c r="D69" s="615"/>
      <c r="E69" s="615"/>
      <c r="F69" s="615"/>
      <c r="G69" s="615"/>
      <c r="H69" s="615"/>
      <c r="I69" s="615"/>
      <c r="J69" s="615"/>
      <c r="K69" s="615"/>
      <c r="L69" s="619">
        <v>300</v>
      </c>
      <c r="M69" s="620" t="s">
        <v>17</v>
      </c>
      <c r="N69" s="614"/>
      <c r="O69" s="619">
        <v>800</v>
      </c>
      <c r="P69" s="621">
        <f>O69*L69</f>
        <v>240000</v>
      </c>
      <c r="Q69" s="624"/>
      <c r="R69" s="624"/>
      <c r="S69" s="594"/>
      <c r="U69" s="709">
        <v>8.3999999999999995E-3</v>
      </c>
    </row>
    <row r="70" spans="1:21" s="608" customFormat="1" ht="22.5" customHeight="1">
      <c r="A70" s="607"/>
      <c r="C70" s="639" t="s">
        <v>403</v>
      </c>
      <c r="D70" s="615"/>
      <c r="E70" s="615"/>
      <c r="F70" s="615"/>
      <c r="G70" s="615"/>
      <c r="H70" s="615"/>
      <c r="I70" s="615"/>
      <c r="J70" s="615"/>
      <c r="K70" s="615"/>
      <c r="L70" s="619">
        <v>300</v>
      </c>
      <c r="M70" s="620" t="s">
        <v>389</v>
      </c>
      <c r="N70" s="614"/>
      <c r="O70" s="619">
        <v>500</v>
      </c>
      <c r="P70" s="621">
        <f>O70*L70</f>
        <v>150000</v>
      </c>
      <c r="Q70" s="648"/>
      <c r="R70" s="648"/>
      <c r="S70" s="594"/>
      <c r="U70" s="709">
        <v>9.6000000000000002E-4</v>
      </c>
    </row>
    <row r="71" spans="1:21" s="608" customFormat="1" ht="22.5" customHeight="1">
      <c r="A71" s="607"/>
      <c r="C71" s="627" t="s">
        <v>404</v>
      </c>
      <c r="D71" s="614"/>
      <c r="E71" s="614"/>
      <c r="F71" s="615"/>
      <c r="G71" s="615"/>
      <c r="H71" s="615"/>
      <c r="I71" s="615"/>
      <c r="J71" s="615"/>
      <c r="K71" s="615"/>
      <c r="L71" s="614">
        <v>100</v>
      </c>
      <c r="M71" s="620" t="s">
        <v>19</v>
      </c>
      <c r="N71" s="614"/>
      <c r="O71" s="619">
        <v>70</v>
      </c>
      <c r="P71" s="621">
        <f>O71*L71</f>
        <v>7000</v>
      </c>
      <c r="Q71" s="624"/>
      <c r="R71" s="624"/>
      <c r="S71" s="594"/>
      <c r="U71" s="709">
        <v>6.0000000000000001E-3</v>
      </c>
    </row>
    <row r="72" spans="1:21" s="583" customFormat="1" ht="22.5" customHeight="1">
      <c r="A72" s="582"/>
      <c r="C72" s="633" t="s">
        <v>405</v>
      </c>
      <c r="D72" s="640"/>
      <c r="E72" s="614"/>
      <c r="F72" s="614"/>
      <c r="G72" s="614"/>
      <c r="H72" s="615"/>
      <c r="I72" s="615"/>
      <c r="J72" s="615"/>
      <c r="K72" s="615"/>
      <c r="L72" s="609"/>
      <c r="M72" s="609"/>
      <c r="N72" s="609"/>
      <c r="O72" s="609"/>
      <c r="P72" s="636">
        <f>SUM(P73:P80)</f>
        <v>3409050</v>
      </c>
      <c r="Q72" s="645"/>
      <c r="R72" s="645"/>
      <c r="S72" s="594"/>
      <c r="U72" s="705">
        <v>0.19683</v>
      </c>
    </row>
    <row r="73" spans="1:21" s="608" customFormat="1" ht="22.5" customHeight="1">
      <c r="A73" s="607"/>
      <c r="C73" s="627" t="s">
        <v>406</v>
      </c>
      <c r="D73" s="628"/>
      <c r="E73" s="615"/>
      <c r="F73" s="615"/>
      <c r="G73" s="615"/>
      <c r="H73" s="615"/>
      <c r="I73" s="615"/>
      <c r="J73" s="615"/>
      <c r="K73" s="615"/>
      <c r="L73" s="619">
        <v>380</v>
      </c>
      <c r="M73" s="620" t="s">
        <v>18</v>
      </c>
      <c r="N73" s="614"/>
      <c r="O73" s="619">
        <v>200</v>
      </c>
      <c r="P73" s="621">
        <f t="shared" ref="P73:P80" si="3">O73*L73</f>
        <v>76000</v>
      </c>
      <c r="Q73" s="622"/>
      <c r="R73" s="622"/>
      <c r="S73" s="594"/>
      <c r="U73" s="709">
        <v>3.5999999999999997E-2</v>
      </c>
    </row>
    <row r="74" spans="1:21" s="608" customFormat="1" ht="22.5" customHeight="1">
      <c r="A74" s="607"/>
      <c r="C74" s="639" t="s">
        <v>407</v>
      </c>
      <c r="D74" s="632"/>
      <c r="E74" s="615"/>
      <c r="F74" s="615"/>
      <c r="G74" s="615"/>
      <c r="H74" s="615"/>
      <c r="I74" s="615"/>
      <c r="J74" s="615"/>
      <c r="K74" s="615"/>
      <c r="L74" s="619">
        <v>380</v>
      </c>
      <c r="M74" s="620" t="s">
        <v>385</v>
      </c>
      <c r="N74" s="614"/>
      <c r="O74" s="619">
        <v>2500</v>
      </c>
      <c r="P74" s="621">
        <f t="shared" si="3"/>
        <v>950000</v>
      </c>
      <c r="Q74" s="624"/>
      <c r="R74" s="624"/>
      <c r="S74" s="594"/>
      <c r="U74" s="709">
        <v>0.108</v>
      </c>
    </row>
    <row r="75" spans="1:21" s="608" customFormat="1" ht="22.5" customHeight="1">
      <c r="A75" s="607"/>
      <c r="C75" s="627" t="s">
        <v>408</v>
      </c>
      <c r="D75" s="615"/>
      <c r="E75" s="615"/>
      <c r="F75" s="615"/>
      <c r="G75" s="615"/>
      <c r="H75" s="615"/>
      <c r="I75" s="615"/>
      <c r="J75" s="615"/>
      <c r="K75" s="615"/>
      <c r="L75" s="619">
        <v>760</v>
      </c>
      <c r="M75" s="620" t="s">
        <v>17</v>
      </c>
      <c r="N75" s="614"/>
      <c r="O75" s="619">
        <v>240</v>
      </c>
      <c r="P75" s="621">
        <f t="shared" si="3"/>
        <v>182400</v>
      </c>
      <c r="Q75" s="624"/>
      <c r="R75" s="624"/>
      <c r="S75" s="594"/>
      <c r="U75" s="709">
        <v>2.52E-2</v>
      </c>
    </row>
    <row r="76" spans="1:21" s="608" customFormat="1" ht="22.5" customHeight="1">
      <c r="A76" s="607"/>
      <c r="C76" s="612" t="s">
        <v>409</v>
      </c>
      <c r="D76" s="628"/>
      <c r="E76" s="615"/>
      <c r="F76" s="615"/>
      <c r="G76" s="615"/>
      <c r="H76" s="615"/>
      <c r="I76" s="615"/>
      <c r="J76" s="615"/>
      <c r="K76" s="615"/>
      <c r="L76" s="619">
        <v>760</v>
      </c>
      <c r="M76" s="620" t="s">
        <v>17</v>
      </c>
      <c r="N76" s="614"/>
      <c r="O76" s="619">
        <v>800</v>
      </c>
      <c r="P76" s="621">
        <f t="shared" si="3"/>
        <v>608000</v>
      </c>
      <c r="Q76" s="648"/>
      <c r="R76" s="648"/>
      <c r="S76" s="594"/>
      <c r="U76" s="709">
        <v>2.8800000000000002E-3</v>
      </c>
    </row>
    <row r="77" spans="1:21" s="608" customFormat="1" ht="22.5" customHeight="1">
      <c r="A77" s="607"/>
      <c r="C77" s="612" t="s">
        <v>410</v>
      </c>
      <c r="D77" s="615"/>
      <c r="E77" s="615"/>
      <c r="F77" s="615"/>
      <c r="G77" s="615"/>
      <c r="H77" s="615"/>
      <c r="I77" s="615"/>
      <c r="J77" s="615"/>
      <c r="K77" s="615"/>
      <c r="L77" s="614">
        <v>180</v>
      </c>
      <c r="M77" s="620" t="s">
        <v>379</v>
      </c>
      <c r="N77" s="614"/>
      <c r="O77" s="619">
        <v>2500</v>
      </c>
      <c r="P77" s="621">
        <f t="shared" si="3"/>
        <v>450000</v>
      </c>
      <c r="Q77" s="624"/>
      <c r="R77" s="624"/>
      <c r="S77" s="594"/>
      <c r="U77" s="709">
        <v>3.5999999999999997E-2</v>
      </c>
    </row>
    <row r="78" spans="1:21" s="608" customFormat="1" ht="22.5" customHeight="1">
      <c r="A78" s="607"/>
      <c r="C78" s="639" t="s">
        <v>411</v>
      </c>
      <c r="D78" s="628"/>
      <c r="E78" s="615"/>
      <c r="F78" s="615"/>
      <c r="G78" s="615"/>
      <c r="H78" s="615"/>
      <c r="I78" s="615"/>
      <c r="J78" s="615"/>
      <c r="K78" s="615"/>
      <c r="L78" s="619">
        <v>380</v>
      </c>
      <c r="M78" s="620" t="s">
        <v>17</v>
      </c>
      <c r="N78" s="614"/>
      <c r="O78" s="619">
        <v>1200</v>
      </c>
      <c r="P78" s="621">
        <f t="shared" si="3"/>
        <v>456000</v>
      </c>
      <c r="Q78" s="622"/>
      <c r="R78" s="622"/>
      <c r="S78" s="594"/>
      <c r="U78" s="709">
        <v>6.7499999999999999E-3</v>
      </c>
    </row>
    <row r="79" spans="1:21" s="608" customFormat="1" ht="22.5" customHeight="1">
      <c r="A79" s="1359"/>
      <c r="B79" s="1369"/>
      <c r="C79" s="1689" t="s">
        <v>412</v>
      </c>
      <c r="D79" s="1689"/>
      <c r="E79" s="1689"/>
      <c r="F79" s="609"/>
      <c r="G79" s="609"/>
      <c r="H79" s="609"/>
      <c r="I79" s="609"/>
      <c r="J79" s="609"/>
      <c r="K79" s="609"/>
      <c r="L79" s="619">
        <v>80</v>
      </c>
      <c r="M79" s="620" t="s">
        <v>17</v>
      </c>
      <c r="N79" s="614"/>
      <c r="O79" s="619">
        <v>8500</v>
      </c>
      <c r="P79" s="621">
        <f t="shared" si="3"/>
        <v>680000</v>
      </c>
      <c r="Q79" s="637"/>
      <c r="R79" s="637"/>
      <c r="S79" s="594"/>
      <c r="U79" s="709">
        <v>1.5456000000000001</v>
      </c>
    </row>
    <row r="80" spans="1:21" s="608" customFormat="1" ht="22.5" customHeight="1">
      <c r="A80" s="607"/>
      <c r="C80" s="630" t="s">
        <v>413</v>
      </c>
      <c r="D80" s="628"/>
      <c r="E80" s="615"/>
      <c r="F80" s="615"/>
      <c r="G80" s="615"/>
      <c r="H80" s="615"/>
      <c r="I80" s="615"/>
      <c r="J80" s="615"/>
      <c r="K80" s="615"/>
      <c r="L80" s="619">
        <v>95</v>
      </c>
      <c r="M80" s="620" t="s">
        <v>19</v>
      </c>
      <c r="N80" s="614"/>
      <c r="O80" s="619">
        <v>70</v>
      </c>
      <c r="P80" s="621">
        <f t="shared" si="3"/>
        <v>6650</v>
      </c>
      <c r="Q80" s="622"/>
      <c r="R80" s="622"/>
      <c r="S80" s="594"/>
      <c r="U80" s="709">
        <v>0.03</v>
      </c>
    </row>
    <row r="81" spans="1:21" s="608" customFormat="1" ht="22.5" customHeight="1">
      <c r="A81" s="607"/>
      <c r="C81" s="633" t="s">
        <v>414</v>
      </c>
      <c r="D81" s="657"/>
      <c r="E81" s="658"/>
      <c r="F81" s="658"/>
      <c r="G81" s="658"/>
      <c r="H81" s="658"/>
      <c r="I81" s="658"/>
      <c r="J81" s="658"/>
      <c r="K81" s="658"/>
      <c r="L81" s="641"/>
      <c r="M81" s="641"/>
      <c r="N81" s="641"/>
      <c r="O81" s="641"/>
      <c r="P81" s="636">
        <f>SUM(P82:P85)</f>
        <v>198750</v>
      </c>
      <c r="Q81" s="624"/>
      <c r="R81" s="624"/>
      <c r="S81" s="594"/>
      <c r="U81" s="709">
        <v>0.46800000000000003</v>
      </c>
    </row>
    <row r="82" spans="1:21" s="608" customFormat="1" ht="22.5" customHeight="1">
      <c r="A82" s="607"/>
      <c r="C82" s="627" t="s">
        <v>415</v>
      </c>
      <c r="D82" s="628"/>
      <c r="E82" s="615"/>
      <c r="F82" s="615"/>
      <c r="G82" s="615"/>
      <c r="H82" s="615"/>
      <c r="I82" s="615"/>
      <c r="J82" s="615"/>
      <c r="K82" s="615"/>
      <c r="L82" s="619">
        <v>50</v>
      </c>
      <c r="M82" s="620" t="s">
        <v>385</v>
      </c>
      <c r="N82" s="614"/>
      <c r="O82" s="619">
        <v>2500</v>
      </c>
      <c r="P82" s="621">
        <f>O82*L82</f>
        <v>125000</v>
      </c>
      <c r="Q82" s="624"/>
      <c r="R82" s="624"/>
      <c r="S82" s="594"/>
      <c r="U82" s="709">
        <v>5.7599999999999998E-2</v>
      </c>
    </row>
    <row r="83" spans="1:21" s="608" customFormat="1" ht="22.5" customHeight="1">
      <c r="A83" s="607"/>
      <c r="C83" s="612" t="s">
        <v>416</v>
      </c>
      <c r="D83" s="615"/>
      <c r="E83" s="615"/>
      <c r="F83" s="615"/>
      <c r="G83" s="615"/>
      <c r="H83" s="615"/>
      <c r="I83" s="615"/>
      <c r="J83" s="615"/>
      <c r="K83" s="615"/>
      <c r="L83" s="614">
        <v>50</v>
      </c>
      <c r="M83" s="620" t="s">
        <v>17</v>
      </c>
      <c r="N83" s="614"/>
      <c r="O83" s="619">
        <v>240</v>
      </c>
      <c r="P83" s="621">
        <f>O83*L83</f>
        <v>12000</v>
      </c>
      <c r="Q83" s="624"/>
      <c r="R83" s="624"/>
      <c r="S83" s="594"/>
      <c r="U83" s="709">
        <v>0.72</v>
      </c>
    </row>
    <row r="84" spans="1:21" s="608" customFormat="1" ht="22.5" customHeight="1">
      <c r="A84" s="607"/>
      <c r="C84" s="612" t="s">
        <v>417</v>
      </c>
      <c r="D84" s="628"/>
      <c r="E84" s="615"/>
      <c r="F84" s="615"/>
      <c r="G84" s="615"/>
      <c r="H84" s="615"/>
      <c r="I84" s="615"/>
      <c r="J84" s="615"/>
      <c r="K84" s="615"/>
      <c r="L84" s="619">
        <v>75</v>
      </c>
      <c r="M84" s="620" t="s">
        <v>385</v>
      </c>
      <c r="N84" s="614"/>
      <c r="O84" s="619">
        <v>800</v>
      </c>
      <c r="P84" s="621">
        <f>O84*L84</f>
        <v>60000</v>
      </c>
      <c r="Q84" s="622"/>
      <c r="R84" s="622"/>
      <c r="S84" s="594"/>
      <c r="U84" s="709">
        <v>0.27</v>
      </c>
    </row>
    <row r="85" spans="1:21" s="608" customFormat="1" ht="22.5" customHeight="1">
      <c r="A85" s="607"/>
      <c r="C85" s="612" t="s">
        <v>418</v>
      </c>
      <c r="D85" s="628"/>
      <c r="E85" s="615"/>
      <c r="F85" s="615"/>
      <c r="G85" s="615"/>
      <c r="H85" s="615"/>
      <c r="I85" s="615"/>
      <c r="J85" s="615"/>
      <c r="K85" s="615"/>
      <c r="L85" s="619">
        <v>25</v>
      </c>
      <c r="M85" s="620" t="s">
        <v>19</v>
      </c>
      <c r="N85" s="614"/>
      <c r="O85" s="619">
        <v>70</v>
      </c>
      <c r="P85" s="621">
        <f>O85*L85</f>
        <v>1750</v>
      </c>
      <c r="Q85" s="622"/>
      <c r="R85" s="622"/>
      <c r="S85" s="594"/>
      <c r="U85" s="709"/>
    </row>
    <row r="86" spans="1:21" s="608" customFormat="1" ht="40.5" customHeight="1">
      <c r="A86" s="607"/>
      <c r="C86" s="1686" t="s">
        <v>419</v>
      </c>
      <c r="D86" s="1686"/>
      <c r="E86" s="1686"/>
      <c r="F86" s="1686"/>
      <c r="G86" s="1686"/>
      <c r="H86" s="1686"/>
      <c r="I86" s="1686"/>
      <c r="J86" s="1686"/>
      <c r="K86" s="1686"/>
      <c r="L86" s="641"/>
      <c r="M86" s="641"/>
      <c r="N86" s="641"/>
      <c r="O86" s="641"/>
      <c r="P86" s="659">
        <f>SUM(P87:P90)</f>
        <v>24200</v>
      </c>
      <c r="Q86" s="637"/>
      <c r="R86" s="637"/>
      <c r="S86" s="594"/>
      <c r="U86" s="709">
        <v>1.1012</v>
      </c>
    </row>
    <row r="87" spans="1:21" s="608" customFormat="1" ht="22.5" customHeight="1">
      <c r="A87" s="607"/>
      <c r="C87" s="647" t="s">
        <v>420</v>
      </c>
      <c r="D87" s="628"/>
      <c r="E87" s="615"/>
      <c r="F87" s="615"/>
      <c r="G87" s="615"/>
      <c r="H87" s="615"/>
      <c r="I87" s="615"/>
      <c r="J87" s="615"/>
      <c r="K87" s="615"/>
      <c r="L87" s="619">
        <v>1</v>
      </c>
      <c r="M87" s="620" t="s">
        <v>18</v>
      </c>
      <c r="N87" s="614"/>
      <c r="O87" s="619">
        <v>5000</v>
      </c>
      <c r="P87" s="621">
        <f>O87*L87</f>
        <v>5000</v>
      </c>
      <c r="Q87" s="622"/>
      <c r="R87" s="622"/>
      <c r="S87" s="594"/>
      <c r="U87" s="709">
        <v>1.4999999999999999E-2</v>
      </c>
    </row>
    <row r="88" spans="1:21" s="608" customFormat="1" ht="22.5" customHeight="1">
      <c r="A88" s="607"/>
      <c r="C88" s="639" t="s">
        <v>421</v>
      </c>
      <c r="D88" s="628"/>
      <c r="E88" s="615"/>
      <c r="F88" s="615"/>
      <c r="G88" s="615"/>
      <c r="H88" s="615"/>
      <c r="I88" s="615"/>
      <c r="J88" s="615"/>
      <c r="K88" s="615"/>
      <c r="L88" s="619">
        <v>30</v>
      </c>
      <c r="M88" s="620" t="s">
        <v>19</v>
      </c>
      <c r="N88" s="614"/>
      <c r="O88" s="619">
        <v>70</v>
      </c>
      <c r="P88" s="621">
        <f>O88*L88</f>
        <v>2100</v>
      </c>
      <c r="Q88" s="624"/>
      <c r="R88" s="624"/>
      <c r="S88" s="594"/>
      <c r="U88" s="709">
        <v>4.3200000000000002E-2</v>
      </c>
    </row>
    <row r="89" spans="1:21" s="608" customFormat="1" ht="22.5" customHeight="1">
      <c r="A89" s="607"/>
      <c r="C89" s="627" t="s">
        <v>422</v>
      </c>
      <c r="D89" s="615"/>
      <c r="E89" s="615"/>
      <c r="F89" s="615"/>
      <c r="G89" s="615"/>
      <c r="H89" s="615"/>
      <c r="I89" s="615"/>
      <c r="J89" s="615"/>
      <c r="K89" s="615"/>
      <c r="L89" s="614">
        <v>30</v>
      </c>
      <c r="M89" s="620" t="s">
        <v>361</v>
      </c>
      <c r="N89" s="614"/>
      <c r="O89" s="619">
        <v>500</v>
      </c>
      <c r="P89" s="621">
        <f>O89*L89</f>
        <v>15000</v>
      </c>
      <c r="Q89" s="624"/>
      <c r="R89" s="624"/>
      <c r="S89" s="594"/>
      <c r="U89" s="709">
        <v>0.28799999999999998</v>
      </c>
    </row>
    <row r="90" spans="1:21" s="608" customFormat="1" ht="22.5" customHeight="1">
      <c r="A90" s="607"/>
      <c r="C90" s="627" t="s">
        <v>423</v>
      </c>
      <c r="D90" s="628"/>
      <c r="E90" s="615"/>
      <c r="F90" s="615"/>
      <c r="G90" s="615"/>
      <c r="H90" s="615"/>
      <c r="I90" s="615"/>
      <c r="J90" s="615"/>
      <c r="K90" s="615"/>
      <c r="L90" s="619">
        <v>30</v>
      </c>
      <c r="M90" s="620" t="s">
        <v>361</v>
      </c>
      <c r="N90" s="614"/>
      <c r="O90" s="619">
        <v>70</v>
      </c>
      <c r="P90" s="621">
        <f>O90*L90</f>
        <v>2100</v>
      </c>
      <c r="Q90" s="622"/>
      <c r="R90" s="622"/>
      <c r="S90" s="594"/>
      <c r="U90" s="709">
        <v>0.13500000000000001</v>
      </c>
    </row>
    <row r="91" spans="1:21" s="608" customFormat="1" ht="42" customHeight="1">
      <c r="A91" s="607"/>
      <c r="C91" s="1691" t="s">
        <v>424</v>
      </c>
      <c r="D91" s="1691"/>
      <c r="E91" s="1691"/>
      <c r="F91" s="1691"/>
      <c r="G91" s="1691"/>
      <c r="H91" s="1691"/>
      <c r="I91" s="1691"/>
      <c r="J91" s="1691"/>
      <c r="K91" s="1691"/>
      <c r="L91" s="641"/>
      <c r="M91" s="641"/>
      <c r="N91" s="641"/>
      <c r="O91" s="641"/>
      <c r="P91" s="659">
        <f>SUM(P92:P95)</f>
        <v>24200</v>
      </c>
      <c r="Q91" s="637"/>
      <c r="R91" s="637"/>
      <c r="S91" s="594"/>
      <c r="U91" s="709">
        <v>0.31</v>
      </c>
    </row>
    <row r="92" spans="1:21" s="608" customFormat="1" ht="22.5" customHeight="1">
      <c r="A92" s="607"/>
      <c r="C92" s="647" t="s">
        <v>420</v>
      </c>
      <c r="D92" s="628"/>
      <c r="E92" s="615"/>
      <c r="F92" s="615"/>
      <c r="G92" s="615"/>
      <c r="H92" s="615"/>
      <c r="I92" s="615"/>
      <c r="J92" s="615"/>
      <c r="K92" s="615"/>
      <c r="L92" s="619">
        <v>1</v>
      </c>
      <c r="M92" s="620" t="s">
        <v>18</v>
      </c>
      <c r="N92" s="614"/>
      <c r="O92" s="619">
        <v>5000</v>
      </c>
      <c r="P92" s="660">
        <f>O92*L92</f>
        <v>5000</v>
      </c>
      <c r="Q92" s="624"/>
      <c r="R92" s="624"/>
      <c r="S92" s="594"/>
      <c r="U92" s="709">
        <v>0.25</v>
      </c>
    </row>
    <row r="93" spans="1:21" s="608" customFormat="1" ht="22.5" customHeight="1">
      <c r="A93" s="607"/>
      <c r="C93" s="639" t="s">
        <v>421</v>
      </c>
      <c r="D93" s="628"/>
      <c r="E93" s="615"/>
      <c r="F93" s="615"/>
      <c r="G93" s="615"/>
      <c r="H93" s="615"/>
      <c r="I93" s="615"/>
      <c r="J93" s="615"/>
      <c r="K93" s="615"/>
      <c r="L93" s="619">
        <v>30</v>
      </c>
      <c r="M93" s="620" t="s">
        <v>19</v>
      </c>
      <c r="N93" s="614"/>
      <c r="O93" s="619">
        <v>70</v>
      </c>
      <c r="P93" s="621">
        <f>O93*L93</f>
        <v>2100</v>
      </c>
      <c r="Q93" s="624"/>
      <c r="R93" s="624"/>
      <c r="S93" s="594"/>
      <c r="U93" s="709">
        <v>0.06</v>
      </c>
    </row>
    <row r="94" spans="1:21" s="608" customFormat="1" ht="22.5" customHeight="1">
      <c r="A94" s="607"/>
      <c r="C94" s="627" t="s">
        <v>422</v>
      </c>
      <c r="D94" s="640"/>
      <c r="E94" s="614"/>
      <c r="F94" s="614"/>
      <c r="G94" s="615"/>
      <c r="H94" s="615"/>
      <c r="I94" s="615"/>
      <c r="J94" s="615"/>
      <c r="K94" s="615"/>
      <c r="L94" s="619">
        <v>30</v>
      </c>
      <c r="M94" s="620" t="s">
        <v>361</v>
      </c>
      <c r="N94" s="614"/>
      <c r="O94" s="619">
        <v>500</v>
      </c>
      <c r="P94" s="621">
        <f>O94*L94</f>
        <v>15000</v>
      </c>
      <c r="Q94" s="645"/>
      <c r="R94" s="645"/>
      <c r="S94" s="594"/>
      <c r="U94" s="709">
        <v>9.7610000000000002E-2</v>
      </c>
    </row>
    <row r="95" spans="1:21" s="608" customFormat="1" ht="22.5" customHeight="1">
      <c r="A95" s="607"/>
      <c r="C95" s="627" t="s">
        <v>423</v>
      </c>
      <c r="D95" s="628"/>
      <c r="E95" s="615"/>
      <c r="F95" s="615"/>
      <c r="G95" s="615"/>
      <c r="H95" s="615"/>
      <c r="I95" s="615"/>
      <c r="J95" s="615"/>
      <c r="K95" s="615"/>
      <c r="L95" s="619">
        <v>30</v>
      </c>
      <c r="M95" s="620" t="s">
        <v>19</v>
      </c>
      <c r="N95" s="614"/>
      <c r="O95" s="619">
        <v>70</v>
      </c>
      <c r="P95" s="621">
        <f>O95*L95</f>
        <v>2100</v>
      </c>
      <c r="Q95" s="622"/>
      <c r="R95" s="622"/>
      <c r="S95" s="594"/>
      <c r="U95" s="709">
        <v>0.02</v>
      </c>
    </row>
    <row r="96" spans="1:21" s="608" customFormat="1" ht="36" customHeight="1">
      <c r="A96" s="607"/>
      <c r="C96" s="1686" t="s">
        <v>425</v>
      </c>
      <c r="D96" s="1686"/>
      <c r="E96" s="1686"/>
      <c r="F96" s="1686"/>
      <c r="G96" s="1686"/>
      <c r="H96" s="1686"/>
      <c r="I96" s="1686"/>
      <c r="J96" s="1686"/>
      <c r="K96" s="1686"/>
      <c r="L96" s="641"/>
      <c r="M96" s="641"/>
      <c r="N96" s="641"/>
      <c r="O96" s="641"/>
      <c r="P96" s="659">
        <f>SUM(P97:P100)</f>
        <v>217800</v>
      </c>
      <c r="Q96" s="637"/>
      <c r="R96" s="637"/>
      <c r="S96" s="594"/>
      <c r="U96" s="709">
        <v>0.44400000000000001</v>
      </c>
    </row>
    <row r="97" spans="1:21" s="608" customFormat="1" ht="22.5" customHeight="1">
      <c r="A97" s="607"/>
      <c r="C97" s="647" t="s">
        <v>426</v>
      </c>
      <c r="D97" s="615"/>
      <c r="E97" s="615"/>
      <c r="F97" s="615"/>
      <c r="G97" s="615"/>
      <c r="H97" s="615"/>
      <c r="I97" s="615"/>
      <c r="J97" s="615"/>
      <c r="K97" s="615"/>
      <c r="L97" s="614">
        <v>9</v>
      </c>
      <c r="M97" s="620" t="s">
        <v>427</v>
      </c>
      <c r="N97" s="614"/>
      <c r="O97" s="619">
        <v>5000</v>
      </c>
      <c r="P97" s="661">
        <f>O97*L97</f>
        <v>45000</v>
      </c>
      <c r="Q97" s="662"/>
      <c r="R97" s="662"/>
      <c r="S97" s="594"/>
      <c r="U97" s="709">
        <v>0.02</v>
      </c>
    </row>
    <row r="98" spans="1:21" s="608" customFormat="1" ht="22.5" customHeight="1">
      <c r="A98" s="607"/>
      <c r="C98" s="639" t="s">
        <v>428</v>
      </c>
      <c r="D98" s="615"/>
      <c r="E98" s="615"/>
      <c r="F98" s="615"/>
      <c r="G98" s="615"/>
      <c r="H98" s="615"/>
      <c r="I98" s="615"/>
      <c r="J98" s="615"/>
      <c r="K98" s="615"/>
      <c r="L98" s="614">
        <v>270</v>
      </c>
      <c r="M98" s="620" t="s">
        <v>19</v>
      </c>
      <c r="N98" s="614"/>
      <c r="O98" s="619">
        <v>70</v>
      </c>
      <c r="P98" s="661">
        <f>O98*L98</f>
        <v>18900</v>
      </c>
      <c r="Q98" s="662"/>
      <c r="R98" s="662"/>
      <c r="S98" s="594"/>
      <c r="U98" s="709">
        <v>0.01</v>
      </c>
    </row>
    <row r="99" spans="1:21" s="608" customFormat="1" ht="22.5" customHeight="1">
      <c r="A99" s="607"/>
      <c r="C99" s="627" t="s">
        <v>429</v>
      </c>
      <c r="D99" s="615"/>
      <c r="E99" s="615"/>
      <c r="F99" s="615"/>
      <c r="G99" s="615"/>
      <c r="H99" s="615"/>
      <c r="I99" s="615"/>
      <c r="J99" s="615"/>
      <c r="K99" s="615"/>
      <c r="L99" s="614">
        <v>270</v>
      </c>
      <c r="M99" s="620" t="s">
        <v>361</v>
      </c>
      <c r="N99" s="614"/>
      <c r="O99" s="619">
        <v>500</v>
      </c>
      <c r="P99" s="661">
        <f>O99*L99</f>
        <v>135000</v>
      </c>
      <c r="Q99" s="662"/>
      <c r="R99" s="662"/>
      <c r="S99" s="594"/>
      <c r="U99" s="709">
        <v>2.4E-2</v>
      </c>
    </row>
    <row r="100" spans="1:21" s="608" customFormat="1" ht="22.5" customHeight="1">
      <c r="A100" s="607"/>
      <c r="C100" s="627" t="s">
        <v>430</v>
      </c>
      <c r="D100" s="615"/>
      <c r="E100" s="615"/>
      <c r="F100" s="615"/>
      <c r="G100" s="615"/>
      <c r="H100" s="615"/>
      <c r="I100" s="615"/>
      <c r="J100" s="615"/>
      <c r="K100" s="615"/>
      <c r="L100" s="614">
        <v>270</v>
      </c>
      <c r="M100" s="620" t="s">
        <v>361</v>
      </c>
      <c r="N100" s="614"/>
      <c r="O100" s="619">
        <v>70</v>
      </c>
      <c r="P100" s="661">
        <f>O100*L100</f>
        <v>18900</v>
      </c>
      <c r="Q100" s="662"/>
      <c r="R100" s="662"/>
      <c r="S100" s="594"/>
      <c r="U100" s="709">
        <v>0.03</v>
      </c>
    </row>
    <row r="101" spans="1:21" s="664" customFormat="1" ht="34.5" customHeight="1">
      <c r="A101" s="1370"/>
      <c r="B101" s="1371"/>
      <c r="C101" s="1686" t="s">
        <v>1729</v>
      </c>
      <c r="D101" s="1686"/>
      <c r="E101" s="1686"/>
      <c r="F101" s="1686"/>
      <c r="G101" s="1686"/>
      <c r="H101" s="1686"/>
      <c r="I101" s="1686"/>
      <c r="J101" s="1686"/>
      <c r="K101" s="1686"/>
      <c r="L101" s="641"/>
      <c r="M101" s="641"/>
      <c r="N101" s="641"/>
      <c r="O101" s="665"/>
      <c r="P101" s="666">
        <f>SUM(P102)</f>
        <v>30000</v>
      </c>
      <c r="Q101" s="667"/>
      <c r="R101" s="667"/>
      <c r="S101" s="668"/>
      <c r="U101" s="711">
        <v>0.28819</v>
      </c>
    </row>
    <row r="102" spans="1:21" s="608" customFormat="1" ht="22.5" customHeight="1">
      <c r="A102" s="607"/>
      <c r="C102" s="669" t="s">
        <v>431</v>
      </c>
      <c r="D102" s="615"/>
      <c r="E102" s="615"/>
      <c r="F102" s="615"/>
      <c r="G102" s="615"/>
      <c r="H102" s="615"/>
      <c r="I102" s="615"/>
      <c r="J102" s="615"/>
      <c r="K102" s="615"/>
      <c r="L102" s="614" t="s">
        <v>432</v>
      </c>
      <c r="M102" s="614"/>
      <c r="N102" s="614"/>
      <c r="O102" s="619">
        <v>30000</v>
      </c>
      <c r="P102" s="629">
        <f>O102</f>
        <v>30000</v>
      </c>
      <c r="Q102" s="631"/>
      <c r="R102" s="631"/>
      <c r="S102" s="594"/>
      <c r="U102" s="709">
        <v>0.12</v>
      </c>
    </row>
    <row r="103" spans="1:21" s="664" customFormat="1" ht="35.25" customHeight="1">
      <c r="A103" s="663"/>
      <c r="C103" s="1687" t="s">
        <v>433</v>
      </c>
      <c r="D103" s="1687"/>
      <c r="E103" s="1687"/>
      <c r="F103" s="1687"/>
      <c r="G103" s="1687"/>
      <c r="H103" s="1687"/>
      <c r="I103" s="1687"/>
      <c r="J103" s="670"/>
      <c r="K103" s="670"/>
      <c r="L103" s="671"/>
      <c r="M103" s="671"/>
      <c r="N103" s="671"/>
      <c r="O103" s="641"/>
      <c r="P103" s="666">
        <f>SUM(P104)</f>
        <v>5000</v>
      </c>
      <c r="Q103" s="672"/>
      <c r="R103" s="672"/>
      <c r="S103" s="668"/>
      <c r="U103" s="711">
        <v>4.58805</v>
      </c>
    </row>
    <row r="104" spans="1:21" s="608" customFormat="1" ht="22.5" customHeight="1">
      <c r="A104" s="607"/>
      <c r="C104" s="612" t="s">
        <v>434</v>
      </c>
      <c r="D104" s="604"/>
      <c r="E104" s="604"/>
      <c r="F104" s="604"/>
      <c r="G104" s="604"/>
      <c r="H104" s="604"/>
      <c r="I104" s="604"/>
      <c r="J104" s="604"/>
      <c r="K104" s="604"/>
      <c r="L104" s="614" t="s">
        <v>432</v>
      </c>
      <c r="M104" s="604"/>
      <c r="N104" s="604"/>
      <c r="O104" s="614">
        <v>5000</v>
      </c>
      <c r="P104" s="661">
        <f>SUM(O104)</f>
        <v>5000</v>
      </c>
      <c r="Q104" s="673"/>
      <c r="R104" s="673"/>
      <c r="S104" s="594"/>
      <c r="U104" s="709">
        <v>2.1352000000000002</v>
      </c>
    </row>
    <row r="105" spans="1:21" s="608" customFormat="1" ht="22.5" customHeight="1">
      <c r="A105" s="607"/>
      <c r="C105" s="1675" t="s">
        <v>435</v>
      </c>
      <c r="D105" s="1675"/>
      <c r="E105" s="1675"/>
      <c r="F105" s="1675"/>
      <c r="G105" s="1675"/>
      <c r="H105" s="1675"/>
      <c r="I105" s="1675"/>
      <c r="J105" s="1675"/>
      <c r="K105" s="1675"/>
      <c r="L105" s="641"/>
      <c r="M105" s="641"/>
      <c r="N105" s="641"/>
      <c r="O105" s="641"/>
      <c r="P105" s="659">
        <f>SUM(P106:P111)</f>
        <v>930500</v>
      </c>
      <c r="Q105" s="624"/>
      <c r="R105" s="624"/>
      <c r="S105" s="594"/>
      <c r="U105" s="709">
        <v>0.5</v>
      </c>
    </row>
    <row r="106" spans="1:21" s="608" customFormat="1" ht="22.5" customHeight="1">
      <c r="A106" s="607"/>
      <c r="C106" s="1680" t="s">
        <v>436</v>
      </c>
      <c r="D106" s="1680"/>
      <c r="E106" s="615"/>
      <c r="F106" s="615"/>
      <c r="G106" s="615"/>
      <c r="H106" s="615"/>
      <c r="I106" s="615"/>
      <c r="J106" s="615"/>
      <c r="K106" s="615"/>
      <c r="L106" s="619">
        <v>1</v>
      </c>
      <c r="M106" s="620" t="s">
        <v>18</v>
      </c>
      <c r="N106" s="614"/>
      <c r="O106" s="619">
        <v>150000</v>
      </c>
      <c r="P106" s="660">
        <f>O106*L106</f>
        <v>150000</v>
      </c>
      <c r="Q106" s="624"/>
      <c r="R106" s="624"/>
      <c r="S106" s="594"/>
      <c r="U106" s="709">
        <v>0.3</v>
      </c>
    </row>
    <row r="107" spans="1:21" s="608" customFormat="1" ht="22.5" customHeight="1">
      <c r="A107" s="607"/>
      <c r="C107" s="639" t="s">
        <v>437</v>
      </c>
      <c r="D107" s="615"/>
      <c r="E107" s="615"/>
      <c r="F107" s="615"/>
      <c r="G107" s="615"/>
      <c r="H107" s="615"/>
      <c r="I107" s="615"/>
      <c r="J107" s="615"/>
      <c r="K107" s="615"/>
      <c r="L107" s="619">
        <v>1</v>
      </c>
      <c r="M107" s="620" t="s">
        <v>438</v>
      </c>
      <c r="N107" s="614"/>
      <c r="O107" s="619">
        <v>25000</v>
      </c>
      <c r="P107" s="660">
        <f>O107*L107</f>
        <v>25000</v>
      </c>
      <c r="Q107" s="624"/>
      <c r="R107" s="624"/>
      <c r="S107" s="594"/>
      <c r="U107" s="709">
        <v>0.1</v>
      </c>
    </row>
    <row r="108" spans="1:21" s="608" customFormat="1" ht="22.5" customHeight="1">
      <c r="A108" s="607"/>
      <c r="C108" s="627" t="s">
        <v>439</v>
      </c>
      <c r="D108" s="628"/>
      <c r="E108" s="615"/>
      <c r="F108" s="615"/>
      <c r="G108" s="615"/>
      <c r="H108" s="615"/>
      <c r="I108" s="615"/>
      <c r="J108" s="615"/>
      <c r="K108" s="615"/>
      <c r="L108" s="619">
        <v>60</v>
      </c>
      <c r="M108" s="620" t="s">
        <v>17</v>
      </c>
      <c r="N108" s="614"/>
      <c r="O108" s="619">
        <v>600</v>
      </c>
      <c r="P108" s="660">
        <f>O108*L108</f>
        <v>36000</v>
      </c>
      <c r="Q108" s="624"/>
      <c r="R108" s="624"/>
      <c r="S108" s="594"/>
      <c r="U108" s="709">
        <v>0.48</v>
      </c>
    </row>
    <row r="109" spans="1:21" s="608" customFormat="1" ht="22.5" customHeight="1">
      <c r="A109" s="607"/>
      <c r="C109" s="627" t="s">
        <v>440</v>
      </c>
      <c r="D109" s="628"/>
      <c r="E109" s="615"/>
      <c r="F109" s="615"/>
      <c r="G109" s="615"/>
      <c r="H109" s="615"/>
      <c r="I109" s="615"/>
      <c r="J109" s="615"/>
      <c r="K109" s="615"/>
      <c r="L109" s="619">
        <v>15</v>
      </c>
      <c r="M109" s="620" t="s">
        <v>385</v>
      </c>
      <c r="N109" s="614"/>
      <c r="O109" s="619">
        <v>2500</v>
      </c>
      <c r="P109" s="660">
        <f>SUM(O109*L109)</f>
        <v>37500</v>
      </c>
      <c r="Q109" s="624"/>
      <c r="R109" s="624"/>
      <c r="S109" s="594"/>
      <c r="U109" s="709">
        <v>0.72519999999999996</v>
      </c>
    </row>
    <row r="110" spans="1:21" s="608" customFormat="1" ht="22.5" customHeight="1">
      <c r="A110" s="607"/>
      <c r="C110" s="627" t="s">
        <v>441</v>
      </c>
      <c r="D110" s="628"/>
      <c r="E110" s="615"/>
      <c r="F110" s="615"/>
      <c r="G110" s="615"/>
      <c r="H110" s="615"/>
      <c r="I110" s="615"/>
      <c r="J110" s="615"/>
      <c r="K110" s="615"/>
      <c r="L110" s="619">
        <v>620</v>
      </c>
      <c r="M110" s="620" t="s">
        <v>442</v>
      </c>
      <c r="N110" s="614"/>
      <c r="O110" s="619">
        <v>1000</v>
      </c>
      <c r="P110" s="660">
        <f>O110*L110</f>
        <v>620000</v>
      </c>
      <c r="Q110" s="624"/>
      <c r="R110" s="624"/>
      <c r="S110" s="594"/>
      <c r="U110" s="709">
        <v>0.03</v>
      </c>
    </row>
    <row r="111" spans="1:21" s="608" customFormat="1" ht="22.5" customHeight="1">
      <c r="A111" s="607"/>
      <c r="C111" s="627" t="s">
        <v>443</v>
      </c>
      <c r="D111" s="628"/>
      <c r="E111" s="615"/>
      <c r="F111" s="615"/>
      <c r="G111" s="615"/>
      <c r="H111" s="615"/>
      <c r="I111" s="615"/>
      <c r="J111" s="615"/>
      <c r="K111" s="615"/>
      <c r="L111" s="619">
        <v>620</v>
      </c>
      <c r="M111" s="620" t="s">
        <v>444</v>
      </c>
      <c r="N111" s="614"/>
      <c r="O111" s="619">
        <v>100</v>
      </c>
      <c r="P111" s="660">
        <f>SUM(O111*L111)</f>
        <v>62000</v>
      </c>
      <c r="Q111" s="645"/>
      <c r="R111" s="645"/>
      <c r="S111" s="594"/>
      <c r="U111" s="709">
        <v>0.48804999999999998</v>
      </c>
    </row>
    <row r="112" spans="1:21" s="608" customFormat="1" ht="61.5" customHeight="1">
      <c r="A112" s="607"/>
      <c r="C112" s="1682" t="s">
        <v>445</v>
      </c>
      <c r="D112" s="1683"/>
      <c r="E112" s="1683"/>
      <c r="F112" s="1683"/>
      <c r="G112" s="1683"/>
      <c r="H112" s="1683"/>
      <c r="I112" s="1683"/>
      <c r="J112" s="1684"/>
      <c r="K112" s="670"/>
      <c r="L112" s="670"/>
      <c r="M112" s="641"/>
      <c r="N112" s="641"/>
      <c r="O112" s="641"/>
      <c r="P112" s="659">
        <f>SUM(P113:P121)</f>
        <v>1817500</v>
      </c>
      <c r="Q112" s="622"/>
      <c r="R112" s="622"/>
      <c r="S112" s="594"/>
      <c r="U112" s="709">
        <v>0.1</v>
      </c>
    </row>
    <row r="113" spans="1:21" s="664" customFormat="1" ht="22.5" customHeight="1">
      <c r="A113" s="663"/>
      <c r="C113" s="674" t="s">
        <v>446</v>
      </c>
      <c r="D113" s="675"/>
      <c r="E113" s="641"/>
      <c r="F113" s="641"/>
      <c r="G113" s="641"/>
      <c r="H113" s="641"/>
      <c r="I113" s="641"/>
      <c r="J113" s="641"/>
      <c r="K113" s="641"/>
      <c r="L113" s="676">
        <v>420</v>
      </c>
      <c r="M113" s="677" t="s">
        <v>367</v>
      </c>
      <c r="N113" s="678"/>
      <c r="O113" s="676">
        <v>1200</v>
      </c>
      <c r="P113" s="660">
        <f t="shared" ref="P113:P118" si="4">O113*L113</f>
        <v>504000</v>
      </c>
      <c r="Q113" s="679"/>
      <c r="R113" s="679"/>
      <c r="S113" s="668"/>
      <c r="U113" s="711">
        <v>0.3</v>
      </c>
    </row>
    <row r="114" spans="1:21" s="664" customFormat="1" ht="22.5" customHeight="1">
      <c r="A114" s="663"/>
      <c r="C114" s="1679" t="s">
        <v>447</v>
      </c>
      <c r="D114" s="1679"/>
      <c r="E114" s="1679"/>
      <c r="F114" s="641"/>
      <c r="G114" s="641"/>
      <c r="H114" s="641"/>
      <c r="I114" s="641"/>
      <c r="J114" s="641"/>
      <c r="K114" s="641"/>
      <c r="L114" s="676">
        <v>750</v>
      </c>
      <c r="M114" s="677" t="s">
        <v>19</v>
      </c>
      <c r="N114" s="678"/>
      <c r="O114" s="676">
        <v>70</v>
      </c>
      <c r="P114" s="660">
        <f t="shared" si="4"/>
        <v>52500</v>
      </c>
      <c r="Q114" s="679"/>
      <c r="R114" s="679"/>
      <c r="S114" s="668"/>
      <c r="U114" s="711">
        <v>4.2000000000000003E-2</v>
      </c>
    </row>
    <row r="115" spans="1:21" s="664" customFormat="1" ht="22.5" customHeight="1">
      <c r="A115" s="663"/>
      <c r="C115" s="674" t="s">
        <v>448</v>
      </c>
      <c r="D115" s="641"/>
      <c r="E115" s="641"/>
      <c r="F115" s="641"/>
      <c r="G115" s="641"/>
      <c r="H115" s="641"/>
      <c r="I115" s="641"/>
      <c r="J115" s="641"/>
      <c r="K115" s="641"/>
      <c r="L115" s="676">
        <v>30</v>
      </c>
      <c r="M115" s="677" t="s">
        <v>18</v>
      </c>
      <c r="N115" s="678"/>
      <c r="O115" s="676">
        <v>5000</v>
      </c>
      <c r="P115" s="660">
        <f t="shared" si="4"/>
        <v>150000</v>
      </c>
      <c r="Q115" s="679"/>
      <c r="R115" s="679"/>
      <c r="S115" s="668"/>
      <c r="U115" s="711">
        <v>4.7999999999999996E-3</v>
      </c>
    </row>
    <row r="116" spans="1:21" s="664" customFormat="1" ht="22.5" customHeight="1">
      <c r="A116" s="663"/>
      <c r="C116" s="1679" t="s">
        <v>449</v>
      </c>
      <c r="D116" s="1679"/>
      <c r="E116" s="1679"/>
      <c r="F116" s="641"/>
      <c r="G116" s="641"/>
      <c r="H116" s="641"/>
      <c r="I116" s="641"/>
      <c r="J116" s="641"/>
      <c r="K116" s="641"/>
      <c r="L116" s="678">
        <v>1500</v>
      </c>
      <c r="M116" s="677" t="s">
        <v>17</v>
      </c>
      <c r="N116" s="678"/>
      <c r="O116" s="676">
        <v>100</v>
      </c>
      <c r="P116" s="660">
        <f t="shared" si="4"/>
        <v>150000</v>
      </c>
      <c r="Q116" s="679"/>
      <c r="R116" s="679"/>
      <c r="S116" s="668"/>
      <c r="U116" s="711">
        <v>0.03</v>
      </c>
    </row>
    <row r="117" spans="1:21" s="664" customFormat="1" ht="22.5" customHeight="1">
      <c r="A117" s="663"/>
      <c r="C117" s="1679" t="s">
        <v>450</v>
      </c>
      <c r="D117" s="1679"/>
      <c r="E117" s="1679"/>
      <c r="F117" s="641"/>
      <c r="G117" s="641"/>
      <c r="H117" s="641"/>
      <c r="I117" s="641"/>
      <c r="J117" s="641"/>
      <c r="K117" s="641"/>
      <c r="L117" s="676">
        <v>1500</v>
      </c>
      <c r="M117" s="677" t="s">
        <v>385</v>
      </c>
      <c r="N117" s="678"/>
      <c r="O117" s="676">
        <v>500</v>
      </c>
      <c r="P117" s="660">
        <f t="shared" si="4"/>
        <v>750000</v>
      </c>
      <c r="Q117" s="680"/>
      <c r="R117" s="680"/>
      <c r="S117" s="668"/>
      <c r="U117" s="711">
        <v>1.125E-2</v>
      </c>
    </row>
    <row r="118" spans="1:21" s="664" customFormat="1" ht="22.5" customHeight="1">
      <c r="A118" s="663"/>
      <c r="C118" s="674" t="s">
        <v>451</v>
      </c>
      <c r="D118" s="678"/>
      <c r="E118" s="678"/>
      <c r="F118" s="678"/>
      <c r="G118" s="678"/>
      <c r="H118" s="678"/>
      <c r="I118" s="641"/>
      <c r="J118" s="641"/>
      <c r="K118" s="641"/>
      <c r="L118" s="676">
        <v>150</v>
      </c>
      <c r="M118" s="677" t="s">
        <v>17</v>
      </c>
      <c r="N118" s="678"/>
      <c r="O118" s="676">
        <v>240</v>
      </c>
      <c r="P118" s="660">
        <f t="shared" si="4"/>
        <v>36000</v>
      </c>
      <c r="Q118" s="681"/>
      <c r="R118" s="681"/>
      <c r="S118" s="668"/>
      <c r="U118" s="711">
        <v>0.105</v>
      </c>
    </row>
    <row r="119" spans="1:21" s="664" customFormat="1" ht="22.5" customHeight="1">
      <c r="A119" s="663"/>
      <c r="C119" s="674" t="s">
        <v>452</v>
      </c>
      <c r="D119" s="641"/>
      <c r="E119" s="641"/>
      <c r="F119" s="641"/>
      <c r="G119" s="641"/>
      <c r="H119" s="641"/>
      <c r="I119" s="641"/>
      <c r="J119" s="641"/>
      <c r="K119" s="641"/>
      <c r="L119" s="676">
        <v>75</v>
      </c>
      <c r="M119" s="677" t="s">
        <v>17</v>
      </c>
      <c r="N119" s="678"/>
      <c r="O119" s="676">
        <v>800</v>
      </c>
      <c r="P119" s="660">
        <f>O119*L119</f>
        <v>60000</v>
      </c>
      <c r="Q119" s="679"/>
      <c r="R119" s="679"/>
      <c r="S119" s="668"/>
      <c r="U119" s="711">
        <v>0.105</v>
      </c>
    </row>
    <row r="120" spans="1:21" s="664" customFormat="1" ht="22.5" customHeight="1">
      <c r="A120" s="663"/>
      <c r="C120" s="1681" t="s">
        <v>453</v>
      </c>
      <c r="D120" s="1681"/>
      <c r="E120" s="674"/>
      <c r="F120" s="641"/>
      <c r="G120" s="641"/>
      <c r="H120" s="641"/>
      <c r="I120" s="641"/>
      <c r="J120" s="641"/>
      <c r="K120" s="641"/>
      <c r="L120" s="676">
        <v>8</v>
      </c>
      <c r="M120" s="677" t="s">
        <v>379</v>
      </c>
      <c r="N120" s="678"/>
      <c r="O120" s="676">
        <v>5000</v>
      </c>
      <c r="P120" s="660">
        <f>O120*L120</f>
        <v>40000</v>
      </c>
      <c r="Q120" s="682"/>
      <c r="R120" s="682"/>
      <c r="S120" s="668"/>
      <c r="T120" s="683"/>
      <c r="U120" s="711">
        <v>1.66761</v>
      </c>
    </row>
    <row r="121" spans="1:21" s="664" customFormat="1" ht="22.5" customHeight="1">
      <c r="A121" s="663"/>
      <c r="C121" s="1679" t="s">
        <v>454</v>
      </c>
      <c r="D121" s="1679"/>
      <c r="E121" s="1679"/>
      <c r="F121" s="641"/>
      <c r="G121" s="641"/>
      <c r="H121" s="641"/>
      <c r="I121" s="641"/>
      <c r="J121" s="641"/>
      <c r="K121" s="641"/>
      <c r="L121" s="676">
        <v>30</v>
      </c>
      <c r="M121" s="677" t="s">
        <v>385</v>
      </c>
      <c r="N121" s="678"/>
      <c r="O121" s="676">
        <v>2500</v>
      </c>
      <c r="P121" s="660">
        <f>O121*L121</f>
        <v>75000</v>
      </c>
      <c r="Q121" s="679"/>
      <c r="R121" s="679"/>
      <c r="S121" s="668"/>
      <c r="U121" s="711">
        <v>1.25</v>
      </c>
    </row>
    <row r="122" spans="1:21" s="664" customFormat="1" ht="22.5" customHeight="1">
      <c r="A122" s="663"/>
      <c r="C122" s="684" t="s">
        <v>455</v>
      </c>
      <c r="D122" s="685"/>
      <c r="E122" s="685"/>
      <c r="F122" s="641"/>
      <c r="G122" s="641"/>
      <c r="H122" s="641"/>
      <c r="I122" s="641"/>
      <c r="J122" s="641"/>
      <c r="K122" s="641"/>
      <c r="L122" s="641"/>
      <c r="M122" s="641"/>
      <c r="N122" s="641"/>
      <c r="O122" s="641"/>
      <c r="P122" s="659">
        <f>SUM(P123:P126)</f>
        <v>29000</v>
      </c>
      <c r="Q122" s="682"/>
      <c r="R122" s="682"/>
      <c r="S122" s="668"/>
      <c r="U122" s="711">
        <v>0.2</v>
      </c>
    </row>
    <row r="123" spans="1:21" s="664" customFormat="1" ht="22.5" customHeight="1">
      <c r="A123" s="663"/>
      <c r="C123" s="686" t="s">
        <v>456</v>
      </c>
      <c r="D123" s="687"/>
      <c r="E123" s="678"/>
      <c r="F123" s="641"/>
      <c r="G123" s="641"/>
      <c r="H123" s="641"/>
      <c r="I123" s="641"/>
      <c r="J123" s="641"/>
      <c r="K123" s="641"/>
      <c r="L123" s="676">
        <v>10</v>
      </c>
      <c r="M123" s="677" t="s">
        <v>457</v>
      </c>
      <c r="N123" s="678"/>
      <c r="O123" s="676">
        <v>500</v>
      </c>
      <c r="P123" s="660">
        <f>O123*L123</f>
        <v>5000</v>
      </c>
      <c r="Q123" s="688"/>
      <c r="R123" s="688"/>
      <c r="S123" s="668"/>
      <c r="U123" s="711">
        <v>0.2</v>
      </c>
    </row>
    <row r="124" spans="1:21" s="664" customFormat="1" ht="22.5" customHeight="1">
      <c r="A124" s="1370"/>
      <c r="B124" s="1371"/>
      <c r="C124" s="689" t="s">
        <v>458</v>
      </c>
      <c r="D124" s="678"/>
      <c r="E124" s="678"/>
      <c r="F124" s="641"/>
      <c r="G124" s="641"/>
      <c r="H124" s="641"/>
      <c r="I124" s="641"/>
      <c r="J124" s="641"/>
      <c r="K124" s="641"/>
      <c r="L124" s="676">
        <v>10</v>
      </c>
      <c r="M124" s="677" t="s">
        <v>457</v>
      </c>
      <c r="N124" s="678"/>
      <c r="O124" s="676">
        <v>800</v>
      </c>
      <c r="P124" s="660">
        <f>O124*L124</f>
        <v>8000</v>
      </c>
      <c r="Q124" s="681"/>
      <c r="R124" s="681"/>
      <c r="S124" s="668"/>
      <c r="U124" s="711">
        <v>5.7000000000000002E-2</v>
      </c>
    </row>
    <row r="125" spans="1:21" s="664" customFormat="1" ht="22.5" customHeight="1">
      <c r="A125" s="663"/>
      <c r="C125" s="627" t="s">
        <v>459</v>
      </c>
      <c r="D125" s="678"/>
      <c r="E125" s="678"/>
      <c r="F125" s="678"/>
      <c r="G125" s="641"/>
      <c r="H125" s="641"/>
      <c r="I125" s="641"/>
      <c r="J125" s="641"/>
      <c r="K125" s="641"/>
      <c r="L125" s="676">
        <v>10</v>
      </c>
      <c r="M125" s="677" t="s">
        <v>457</v>
      </c>
      <c r="N125" s="678"/>
      <c r="O125" s="676">
        <v>800</v>
      </c>
      <c r="P125" s="660">
        <f>O125*L125</f>
        <v>8000</v>
      </c>
      <c r="Q125" s="679"/>
      <c r="R125" s="679"/>
      <c r="S125" s="668"/>
      <c r="U125" s="711">
        <v>0.01</v>
      </c>
    </row>
    <row r="126" spans="1:21" s="664" customFormat="1" ht="22.5" customHeight="1">
      <c r="A126" s="663"/>
      <c r="C126" s="627" t="s">
        <v>460</v>
      </c>
      <c r="D126" s="678"/>
      <c r="E126" s="678"/>
      <c r="F126" s="678"/>
      <c r="G126" s="641"/>
      <c r="H126" s="641"/>
      <c r="I126" s="641"/>
      <c r="J126" s="641"/>
      <c r="K126" s="641"/>
      <c r="L126" s="678">
        <v>10</v>
      </c>
      <c r="M126" s="677" t="s">
        <v>457</v>
      </c>
      <c r="N126" s="678"/>
      <c r="O126" s="676">
        <v>800</v>
      </c>
      <c r="P126" s="660">
        <f>O126*L126</f>
        <v>8000</v>
      </c>
      <c r="Q126" s="679"/>
      <c r="R126" s="679"/>
      <c r="S126" s="668"/>
      <c r="U126" s="711">
        <v>5.0000000000000001E-3</v>
      </c>
    </row>
    <row r="127" spans="1:21" s="583" customFormat="1" ht="22.5" customHeight="1">
      <c r="A127" s="582"/>
      <c r="C127" s="690" t="s">
        <v>461</v>
      </c>
      <c r="D127" s="628"/>
      <c r="E127" s="615"/>
      <c r="F127" s="615"/>
      <c r="G127" s="615"/>
      <c r="H127" s="615"/>
      <c r="I127" s="615"/>
      <c r="J127" s="615"/>
      <c r="K127" s="615"/>
      <c r="L127" s="615"/>
      <c r="M127" s="615"/>
      <c r="N127" s="615"/>
      <c r="O127" s="615"/>
      <c r="P127" s="636">
        <f>SUM(P128:P130)</f>
        <v>18000</v>
      </c>
      <c r="Q127" s="624"/>
      <c r="R127" s="624"/>
      <c r="S127" s="594"/>
      <c r="U127" s="705">
        <v>1.2E-2</v>
      </c>
    </row>
    <row r="128" spans="1:21" s="583" customFormat="1" ht="22.5" customHeight="1">
      <c r="A128" s="582"/>
      <c r="C128" s="691" t="s">
        <v>462</v>
      </c>
      <c r="D128" s="614"/>
      <c r="E128" s="614"/>
      <c r="F128" s="604"/>
      <c r="G128" s="604"/>
      <c r="H128" s="604"/>
      <c r="I128" s="604"/>
      <c r="J128" s="604"/>
      <c r="K128" s="604"/>
      <c r="L128" s="594">
        <v>10</v>
      </c>
      <c r="M128" s="620" t="s">
        <v>457</v>
      </c>
      <c r="N128" s="594"/>
      <c r="O128" s="595">
        <v>800</v>
      </c>
      <c r="P128" s="621">
        <f>O128*L128</f>
        <v>8000</v>
      </c>
      <c r="Q128" s="624"/>
      <c r="R128" s="624"/>
      <c r="S128" s="594"/>
      <c r="U128" s="705">
        <v>0.03</v>
      </c>
    </row>
    <row r="129" spans="1:21" s="583" customFormat="1" ht="22.5" customHeight="1">
      <c r="A129" s="582"/>
      <c r="C129" s="639" t="s">
        <v>463</v>
      </c>
      <c r="D129" s="614"/>
      <c r="E129" s="615"/>
      <c r="F129" s="615"/>
      <c r="G129" s="615"/>
      <c r="H129" s="615"/>
      <c r="I129" s="615"/>
      <c r="J129" s="615"/>
      <c r="K129" s="615"/>
      <c r="L129" s="614">
        <v>10</v>
      </c>
      <c r="M129" s="620" t="s">
        <v>457</v>
      </c>
      <c r="N129" s="614"/>
      <c r="O129" s="619">
        <v>500</v>
      </c>
      <c r="P129" s="621">
        <f>O129*L129</f>
        <v>5000</v>
      </c>
      <c r="Q129" s="654"/>
      <c r="R129" s="654"/>
      <c r="S129" s="594"/>
      <c r="U129" s="705">
        <v>0.29519000000000001</v>
      </c>
    </row>
    <row r="130" spans="1:21" s="583" customFormat="1" ht="22.5" customHeight="1">
      <c r="A130" s="582"/>
      <c r="C130" s="627" t="s">
        <v>464</v>
      </c>
      <c r="D130" s="614"/>
      <c r="E130" s="615"/>
      <c r="F130" s="615"/>
      <c r="G130" s="615"/>
      <c r="H130" s="615"/>
      <c r="I130" s="615"/>
      <c r="J130" s="615"/>
      <c r="K130" s="615"/>
      <c r="L130" s="614">
        <v>10</v>
      </c>
      <c r="M130" s="620" t="s">
        <v>457</v>
      </c>
      <c r="N130" s="614"/>
      <c r="O130" s="619">
        <v>500</v>
      </c>
      <c r="P130" s="621">
        <f>O130*L130</f>
        <v>5000</v>
      </c>
      <c r="Q130" s="631"/>
      <c r="R130" s="631"/>
      <c r="S130" s="594"/>
      <c r="U130" s="705">
        <v>0.127</v>
      </c>
    </row>
    <row r="131" spans="1:21" s="583" customFormat="1" ht="22.5" customHeight="1">
      <c r="A131" s="1355"/>
      <c r="B131" s="1356"/>
      <c r="C131" s="692" t="s">
        <v>465</v>
      </c>
      <c r="D131" s="615"/>
      <c r="E131" s="615"/>
      <c r="F131" s="615"/>
      <c r="G131" s="615"/>
      <c r="H131" s="615"/>
      <c r="I131" s="615"/>
      <c r="J131" s="615"/>
      <c r="K131" s="615"/>
      <c r="L131" s="615"/>
      <c r="M131" s="615"/>
      <c r="N131" s="615"/>
      <c r="O131" s="619">
        <v>4500</v>
      </c>
      <c r="P131" s="693">
        <f>SUM(O131)</f>
        <v>4500</v>
      </c>
      <c r="Q131" s="631"/>
      <c r="R131" s="631"/>
      <c r="S131" s="594"/>
      <c r="U131" s="705">
        <v>0.1</v>
      </c>
    </row>
    <row r="132" spans="1:21" s="583" customFormat="1" ht="21.75">
      <c r="C132" s="694"/>
      <c r="D132" s="695"/>
      <c r="E132" s="695"/>
      <c r="F132" s="695"/>
      <c r="G132" s="696"/>
      <c r="H132" s="696"/>
      <c r="I132" s="696"/>
      <c r="J132" s="696"/>
      <c r="K132" s="696"/>
      <c r="L132" s="696"/>
      <c r="M132" s="696"/>
      <c r="N132" s="696"/>
      <c r="O132" s="696"/>
      <c r="P132" s="696"/>
      <c r="Q132" s="696"/>
      <c r="R132" s="696"/>
      <c r="S132" s="696"/>
      <c r="U132" s="705"/>
    </row>
    <row r="133" spans="1:21" s="583" customFormat="1" ht="21.75">
      <c r="C133" s="697" t="s">
        <v>171</v>
      </c>
      <c r="D133" s="698" t="s">
        <v>172</v>
      </c>
      <c r="E133" s="698"/>
      <c r="F133" s="698"/>
      <c r="G133" s="696"/>
      <c r="H133" s="696"/>
      <c r="I133" s="696"/>
      <c r="J133" s="696"/>
      <c r="K133" s="696"/>
      <c r="L133" s="696"/>
      <c r="M133" s="696"/>
      <c r="N133" s="696"/>
      <c r="O133" s="696"/>
      <c r="P133" s="696"/>
      <c r="Q133" s="696"/>
      <c r="R133" s="696"/>
      <c r="S133" s="696"/>
      <c r="U133" s="705"/>
    </row>
    <row r="134" spans="1:21" s="583" customFormat="1" ht="21.75">
      <c r="D134" s="583" t="s">
        <v>466</v>
      </c>
      <c r="U134" s="705"/>
    </row>
  </sheetData>
  <mergeCells count="38">
    <mergeCell ref="S13:S17"/>
    <mergeCell ref="S18:S30"/>
    <mergeCell ref="S31:S38"/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10"/>
    <mergeCell ref="P7:P8"/>
    <mergeCell ref="M7:M8"/>
    <mergeCell ref="N7:N8"/>
    <mergeCell ref="O7:O8"/>
    <mergeCell ref="C101:K101"/>
    <mergeCell ref="C103:I103"/>
    <mergeCell ref="C30:D30"/>
    <mergeCell ref="C79:E79"/>
    <mergeCell ref="H7:H8"/>
    <mergeCell ref="I7:K8"/>
    <mergeCell ref="L7:L8"/>
    <mergeCell ref="C86:K86"/>
    <mergeCell ref="C91:K91"/>
    <mergeCell ref="C96:K96"/>
    <mergeCell ref="C28:F28"/>
    <mergeCell ref="C29:E29"/>
    <mergeCell ref="C105:K105"/>
    <mergeCell ref="S41:S54"/>
    <mergeCell ref="C121:E121"/>
    <mergeCell ref="C106:D106"/>
    <mergeCell ref="C114:E114"/>
    <mergeCell ref="C116:E116"/>
    <mergeCell ref="C117:E117"/>
    <mergeCell ref="C120:D120"/>
    <mergeCell ref="C112:J112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&amp;C&amp;P/6</oddFoot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73"/>
  <sheetViews>
    <sheetView topLeftCell="A47" zoomScale="80" zoomScaleNormal="80" zoomScaleSheetLayoutView="80" workbookViewId="0">
      <selection activeCell="L65" sqref="L65"/>
    </sheetView>
  </sheetViews>
  <sheetFormatPr defaultRowHeight="18.75"/>
  <cols>
    <col min="1" max="1" width="4.625" style="269" customWidth="1"/>
    <col min="2" max="2" width="4.875" style="269" customWidth="1"/>
    <col min="3" max="3" width="40.75" style="269" customWidth="1"/>
    <col min="4" max="7" width="6.625" style="269" customWidth="1"/>
    <col min="8" max="8" width="8.375" style="269" customWidth="1"/>
    <col min="9" max="9" width="6.25" style="269" customWidth="1"/>
    <col min="10" max="10" width="6.125" style="269" customWidth="1"/>
    <col min="11" max="11" width="6.75" style="269" customWidth="1"/>
    <col min="12" max="12" width="8.375" style="269" customWidth="1"/>
    <col min="13" max="13" width="7.75" style="269" customWidth="1"/>
    <col min="14" max="14" width="7.875" style="269" customWidth="1"/>
    <col min="15" max="15" width="8.375" style="269" customWidth="1"/>
    <col min="16" max="16" width="10.75" style="713" customWidth="1"/>
    <col min="17" max="17" width="7.125" style="269" customWidth="1"/>
    <col min="18" max="18" width="7.5" style="269" customWidth="1"/>
    <col min="19" max="19" width="19.875" style="269" customWidth="1"/>
    <col min="20" max="21" width="9" style="1377"/>
    <col min="22" max="256" width="9" style="269"/>
    <col min="257" max="257" width="5.5" style="269" customWidth="1"/>
    <col min="258" max="258" width="5.75" style="269" customWidth="1"/>
    <col min="259" max="259" width="26.875" style="269" customWidth="1"/>
    <col min="260" max="262" width="9" style="269"/>
    <col min="263" max="263" width="19.125" style="269" customWidth="1"/>
    <col min="264" max="264" width="9.5" style="269" customWidth="1"/>
    <col min="265" max="267" width="9" style="269"/>
    <col min="268" max="268" width="8.375" style="269" customWidth="1"/>
    <col min="269" max="269" width="10.625" style="269" customWidth="1"/>
    <col min="270" max="270" width="11.375" style="269" customWidth="1"/>
    <col min="271" max="271" width="10.25" style="269" customWidth="1"/>
    <col min="272" max="272" width="16.125" style="269" customWidth="1"/>
    <col min="273" max="274" width="9" style="269"/>
    <col min="275" max="275" width="37.25" style="269" customWidth="1"/>
    <col min="276" max="512" width="9" style="269"/>
    <col min="513" max="513" width="5.5" style="269" customWidth="1"/>
    <col min="514" max="514" width="5.75" style="269" customWidth="1"/>
    <col min="515" max="515" width="26.875" style="269" customWidth="1"/>
    <col min="516" max="518" width="9" style="269"/>
    <col min="519" max="519" width="19.125" style="269" customWidth="1"/>
    <col min="520" max="520" width="9.5" style="269" customWidth="1"/>
    <col min="521" max="523" width="9" style="269"/>
    <col min="524" max="524" width="8.375" style="269" customWidth="1"/>
    <col min="525" max="525" width="10.625" style="269" customWidth="1"/>
    <col min="526" max="526" width="11.375" style="269" customWidth="1"/>
    <col min="527" max="527" width="10.25" style="269" customWidth="1"/>
    <col min="528" max="528" width="16.125" style="269" customWidth="1"/>
    <col min="529" max="530" width="9" style="269"/>
    <col min="531" max="531" width="37.25" style="269" customWidth="1"/>
    <col min="532" max="768" width="9" style="269"/>
    <col min="769" max="769" width="5.5" style="269" customWidth="1"/>
    <col min="770" max="770" width="5.75" style="269" customWidth="1"/>
    <col min="771" max="771" width="26.875" style="269" customWidth="1"/>
    <col min="772" max="774" width="9" style="269"/>
    <col min="775" max="775" width="19.125" style="269" customWidth="1"/>
    <col min="776" max="776" width="9.5" style="269" customWidth="1"/>
    <col min="777" max="779" width="9" style="269"/>
    <col min="780" max="780" width="8.375" style="269" customWidth="1"/>
    <col min="781" max="781" width="10.625" style="269" customWidth="1"/>
    <col min="782" max="782" width="11.375" style="269" customWidth="1"/>
    <col min="783" max="783" width="10.25" style="269" customWidth="1"/>
    <col min="784" max="784" width="16.125" style="269" customWidth="1"/>
    <col min="785" max="786" width="9" style="269"/>
    <col min="787" max="787" width="37.25" style="269" customWidth="1"/>
    <col min="788" max="1024" width="9" style="269"/>
    <col min="1025" max="1025" width="5.5" style="269" customWidth="1"/>
    <col min="1026" max="1026" width="5.75" style="269" customWidth="1"/>
    <col min="1027" max="1027" width="26.875" style="269" customWidth="1"/>
    <col min="1028" max="1030" width="9" style="269"/>
    <col min="1031" max="1031" width="19.125" style="269" customWidth="1"/>
    <col min="1032" max="1032" width="9.5" style="269" customWidth="1"/>
    <col min="1033" max="1035" width="9" style="269"/>
    <col min="1036" max="1036" width="8.375" style="269" customWidth="1"/>
    <col min="1037" max="1037" width="10.625" style="269" customWidth="1"/>
    <col min="1038" max="1038" width="11.375" style="269" customWidth="1"/>
    <col min="1039" max="1039" width="10.25" style="269" customWidth="1"/>
    <col min="1040" max="1040" width="16.125" style="269" customWidth="1"/>
    <col min="1041" max="1042" width="9" style="269"/>
    <col min="1043" max="1043" width="37.25" style="269" customWidth="1"/>
    <col min="1044" max="1280" width="9" style="269"/>
    <col min="1281" max="1281" width="5.5" style="269" customWidth="1"/>
    <col min="1282" max="1282" width="5.75" style="269" customWidth="1"/>
    <col min="1283" max="1283" width="26.875" style="269" customWidth="1"/>
    <col min="1284" max="1286" width="9" style="269"/>
    <col min="1287" max="1287" width="19.125" style="269" customWidth="1"/>
    <col min="1288" max="1288" width="9.5" style="269" customWidth="1"/>
    <col min="1289" max="1291" width="9" style="269"/>
    <col min="1292" max="1292" width="8.375" style="269" customWidth="1"/>
    <col min="1293" max="1293" width="10.625" style="269" customWidth="1"/>
    <col min="1294" max="1294" width="11.375" style="269" customWidth="1"/>
    <col min="1295" max="1295" width="10.25" style="269" customWidth="1"/>
    <col min="1296" max="1296" width="16.125" style="269" customWidth="1"/>
    <col min="1297" max="1298" width="9" style="269"/>
    <col min="1299" max="1299" width="37.25" style="269" customWidth="1"/>
    <col min="1300" max="1536" width="9" style="269"/>
    <col min="1537" max="1537" width="5.5" style="269" customWidth="1"/>
    <col min="1538" max="1538" width="5.75" style="269" customWidth="1"/>
    <col min="1539" max="1539" width="26.875" style="269" customWidth="1"/>
    <col min="1540" max="1542" width="9" style="269"/>
    <col min="1543" max="1543" width="19.125" style="269" customWidth="1"/>
    <col min="1544" max="1544" width="9.5" style="269" customWidth="1"/>
    <col min="1545" max="1547" width="9" style="269"/>
    <col min="1548" max="1548" width="8.375" style="269" customWidth="1"/>
    <col min="1549" max="1549" width="10.625" style="269" customWidth="1"/>
    <col min="1550" max="1550" width="11.375" style="269" customWidth="1"/>
    <col min="1551" max="1551" width="10.25" style="269" customWidth="1"/>
    <col min="1552" max="1552" width="16.125" style="269" customWidth="1"/>
    <col min="1553" max="1554" width="9" style="269"/>
    <col min="1555" max="1555" width="37.25" style="269" customWidth="1"/>
    <col min="1556" max="1792" width="9" style="269"/>
    <col min="1793" max="1793" width="5.5" style="269" customWidth="1"/>
    <col min="1794" max="1794" width="5.75" style="269" customWidth="1"/>
    <col min="1795" max="1795" width="26.875" style="269" customWidth="1"/>
    <col min="1796" max="1798" width="9" style="269"/>
    <col min="1799" max="1799" width="19.125" style="269" customWidth="1"/>
    <col min="1800" max="1800" width="9.5" style="269" customWidth="1"/>
    <col min="1801" max="1803" width="9" style="269"/>
    <col min="1804" max="1804" width="8.375" style="269" customWidth="1"/>
    <col min="1805" max="1805" width="10.625" style="269" customWidth="1"/>
    <col min="1806" max="1806" width="11.375" style="269" customWidth="1"/>
    <col min="1807" max="1807" width="10.25" style="269" customWidth="1"/>
    <col min="1808" max="1808" width="16.125" style="269" customWidth="1"/>
    <col min="1809" max="1810" width="9" style="269"/>
    <col min="1811" max="1811" width="37.25" style="269" customWidth="1"/>
    <col min="1812" max="2048" width="9" style="269"/>
    <col min="2049" max="2049" width="5.5" style="269" customWidth="1"/>
    <col min="2050" max="2050" width="5.75" style="269" customWidth="1"/>
    <col min="2051" max="2051" width="26.875" style="269" customWidth="1"/>
    <col min="2052" max="2054" width="9" style="269"/>
    <col min="2055" max="2055" width="19.125" style="269" customWidth="1"/>
    <col min="2056" max="2056" width="9.5" style="269" customWidth="1"/>
    <col min="2057" max="2059" width="9" style="269"/>
    <col min="2060" max="2060" width="8.375" style="269" customWidth="1"/>
    <col min="2061" max="2061" width="10.625" style="269" customWidth="1"/>
    <col min="2062" max="2062" width="11.375" style="269" customWidth="1"/>
    <col min="2063" max="2063" width="10.25" style="269" customWidth="1"/>
    <col min="2064" max="2064" width="16.125" style="269" customWidth="1"/>
    <col min="2065" max="2066" width="9" style="269"/>
    <col min="2067" max="2067" width="37.25" style="269" customWidth="1"/>
    <col min="2068" max="2304" width="9" style="269"/>
    <col min="2305" max="2305" width="5.5" style="269" customWidth="1"/>
    <col min="2306" max="2306" width="5.75" style="269" customWidth="1"/>
    <col min="2307" max="2307" width="26.875" style="269" customWidth="1"/>
    <col min="2308" max="2310" width="9" style="269"/>
    <col min="2311" max="2311" width="19.125" style="269" customWidth="1"/>
    <col min="2312" max="2312" width="9.5" style="269" customWidth="1"/>
    <col min="2313" max="2315" width="9" style="269"/>
    <col min="2316" max="2316" width="8.375" style="269" customWidth="1"/>
    <col min="2317" max="2317" width="10.625" style="269" customWidth="1"/>
    <col min="2318" max="2318" width="11.375" style="269" customWidth="1"/>
    <col min="2319" max="2319" width="10.25" style="269" customWidth="1"/>
    <col min="2320" max="2320" width="16.125" style="269" customWidth="1"/>
    <col min="2321" max="2322" width="9" style="269"/>
    <col min="2323" max="2323" width="37.25" style="269" customWidth="1"/>
    <col min="2324" max="2560" width="9" style="269"/>
    <col min="2561" max="2561" width="5.5" style="269" customWidth="1"/>
    <col min="2562" max="2562" width="5.75" style="269" customWidth="1"/>
    <col min="2563" max="2563" width="26.875" style="269" customWidth="1"/>
    <col min="2564" max="2566" width="9" style="269"/>
    <col min="2567" max="2567" width="19.125" style="269" customWidth="1"/>
    <col min="2568" max="2568" width="9.5" style="269" customWidth="1"/>
    <col min="2569" max="2571" width="9" style="269"/>
    <col min="2572" max="2572" width="8.375" style="269" customWidth="1"/>
    <col min="2573" max="2573" width="10.625" style="269" customWidth="1"/>
    <col min="2574" max="2574" width="11.375" style="269" customWidth="1"/>
    <col min="2575" max="2575" width="10.25" style="269" customWidth="1"/>
    <col min="2576" max="2576" width="16.125" style="269" customWidth="1"/>
    <col min="2577" max="2578" width="9" style="269"/>
    <col min="2579" max="2579" width="37.25" style="269" customWidth="1"/>
    <col min="2580" max="2816" width="9" style="269"/>
    <col min="2817" max="2817" width="5.5" style="269" customWidth="1"/>
    <col min="2818" max="2818" width="5.75" style="269" customWidth="1"/>
    <col min="2819" max="2819" width="26.875" style="269" customWidth="1"/>
    <col min="2820" max="2822" width="9" style="269"/>
    <col min="2823" max="2823" width="19.125" style="269" customWidth="1"/>
    <col min="2824" max="2824" width="9.5" style="269" customWidth="1"/>
    <col min="2825" max="2827" width="9" style="269"/>
    <col min="2828" max="2828" width="8.375" style="269" customWidth="1"/>
    <col min="2829" max="2829" width="10.625" style="269" customWidth="1"/>
    <col min="2830" max="2830" width="11.375" style="269" customWidth="1"/>
    <col min="2831" max="2831" width="10.25" style="269" customWidth="1"/>
    <col min="2832" max="2832" width="16.125" style="269" customWidth="1"/>
    <col min="2833" max="2834" width="9" style="269"/>
    <col min="2835" max="2835" width="37.25" style="269" customWidth="1"/>
    <col min="2836" max="3072" width="9" style="269"/>
    <col min="3073" max="3073" width="5.5" style="269" customWidth="1"/>
    <col min="3074" max="3074" width="5.75" style="269" customWidth="1"/>
    <col min="3075" max="3075" width="26.875" style="269" customWidth="1"/>
    <col min="3076" max="3078" width="9" style="269"/>
    <col min="3079" max="3079" width="19.125" style="269" customWidth="1"/>
    <col min="3080" max="3080" width="9.5" style="269" customWidth="1"/>
    <col min="3081" max="3083" width="9" style="269"/>
    <col min="3084" max="3084" width="8.375" style="269" customWidth="1"/>
    <col min="3085" max="3085" width="10.625" style="269" customWidth="1"/>
    <col min="3086" max="3086" width="11.375" style="269" customWidth="1"/>
    <col min="3087" max="3087" width="10.25" style="269" customWidth="1"/>
    <col min="3088" max="3088" width="16.125" style="269" customWidth="1"/>
    <col min="3089" max="3090" width="9" style="269"/>
    <col min="3091" max="3091" width="37.25" style="269" customWidth="1"/>
    <col min="3092" max="3328" width="9" style="269"/>
    <col min="3329" max="3329" width="5.5" style="269" customWidth="1"/>
    <col min="3330" max="3330" width="5.75" style="269" customWidth="1"/>
    <col min="3331" max="3331" width="26.875" style="269" customWidth="1"/>
    <col min="3332" max="3334" width="9" style="269"/>
    <col min="3335" max="3335" width="19.125" style="269" customWidth="1"/>
    <col min="3336" max="3336" width="9.5" style="269" customWidth="1"/>
    <col min="3337" max="3339" width="9" style="269"/>
    <col min="3340" max="3340" width="8.375" style="269" customWidth="1"/>
    <col min="3341" max="3341" width="10.625" style="269" customWidth="1"/>
    <col min="3342" max="3342" width="11.375" style="269" customWidth="1"/>
    <col min="3343" max="3343" width="10.25" style="269" customWidth="1"/>
    <col min="3344" max="3344" width="16.125" style="269" customWidth="1"/>
    <col min="3345" max="3346" width="9" style="269"/>
    <col min="3347" max="3347" width="37.25" style="269" customWidth="1"/>
    <col min="3348" max="3584" width="9" style="269"/>
    <col min="3585" max="3585" width="5.5" style="269" customWidth="1"/>
    <col min="3586" max="3586" width="5.75" style="269" customWidth="1"/>
    <col min="3587" max="3587" width="26.875" style="269" customWidth="1"/>
    <col min="3588" max="3590" width="9" style="269"/>
    <col min="3591" max="3591" width="19.125" style="269" customWidth="1"/>
    <col min="3592" max="3592" width="9.5" style="269" customWidth="1"/>
    <col min="3593" max="3595" width="9" style="269"/>
    <col min="3596" max="3596" width="8.375" style="269" customWidth="1"/>
    <col min="3597" max="3597" width="10.625" style="269" customWidth="1"/>
    <col min="3598" max="3598" width="11.375" style="269" customWidth="1"/>
    <col min="3599" max="3599" width="10.25" style="269" customWidth="1"/>
    <col min="3600" max="3600" width="16.125" style="269" customWidth="1"/>
    <col min="3601" max="3602" width="9" style="269"/>
    <col min="3603" max="3603" width="37.25" style="269" customWidth="1"/>
    <col min="3604" max="3840" width="9" style="269"/>
    <col min="3841" max="3841" width="5.5" style="269" customWidth="1"/>
    <col min="3842" max="3842" width="5.75" style="269" customWidth="1"/>
    <col min="3843" max="3843" width="26.875" style="269" customWidth="1"/>
    <col min="3844" max="3846" width="9" style="269"/>
    <col min="3847" max="3847" width="19.125" style="269" customWidth="1"/>
    <col min="3848" max="3848" width="9.5" style="269" customWidth="1"/>
    <col min="3849" max="3851" width="9" style="269"/>
    <col min="3852" max="3852" width="8.375" style="269" customWidth="1"/>
    <col min="3853" max="3853" width="10.625" style="269" customWidth="1"/>
    <col min="3854" max="3854" width="11.375" style="269" customWidth="1"/>
    <col min="3855" max="3855" width="10.25" style="269" customWidth="1"/>
    <col min="3856" max="3856" width="16.125" style="269" customWidth="1"/>
    <col min="3857" max="3858" width="9" style="269"/>
    <col min="3859" max="3859" width="37.25" style="269" customWidth="1"/>
    <col min="3860" max="4096" width="9" style="269"/>
    <col min="4097" max="4097" width="5.5" style="269" customWidth="1"/>
    <col min="4098" max="4098" width="5.75" style="269" customWidth="1"/>
    <col min="4099" max="4099" width="26.875" style="269" customWidth="1"/>
    <col min="4100" max="4102" width="9" style="269"/>
    <col min="4103" max="4103" width="19.125" style="269" customWidth="1"/>
    <col min="4104" max="4104" width="9.5" style="269" customWidth="1"/>
    <col min="4105" max="4107" width="9" style="269"/>
    <col min="4108" max="4108" width="8.375" style="269" customWidth="1"/>
    <col min="4109" max="4109" width="10.625" style="269" customWidth="1"/>
    <col min="4110" max="4110" width="11.375" style="269" customWidth="1"/>
    <col min="4111" max="4111" width="10.25" style="269" customWidth="1"/>
    <col min="4112" max="4112" width="16.125" style="269" customWidth="1"/>
    <col min="4113" max="4114" width="9" style="269"/>
    <col min="4115" max="4115" width="37.25" style="269" customWidth="1"/>
    <col min="4116" max="4352" width="9" style="269"/>
    <col min="4353" max="4353" width="5.5" style="269" customWidth="1"/>
    <col min="4354" max="4354" width="5.75" style="269" customWidth="1"/>
    <col min="4355" max="4355" width="26.875" style="269" customWidth="1"/>
    <col min="4356" max="4358" width="9" style="269"/>
    <col min="4359" max="4359" width="19.125" style="269" customWidth="1"/>
    <col min="4360" max="4360" width="9.5" style="269" customWidth="1"/>
    <col min="4361" max="4363" width="9" style="269"/>
    <col min="4364" max="4364" width="8.375" style="269" customWidth="1"/>
    <col min="4365" max="4365" width="10.625" style="269" customWidth="1"/>
    <col min="4366" max="4366" width="11.375" style="269" customWidth="1"/>
    <col min="4367" max="4367" width="10.25" style="269" customWidth="1"/>
    <col min="4368" max="4368" width="16.125" style="269" customWidth="1"/>
    <col min="4369" max="4370" width="9" style="269"/>
    <col min="4371" max="4371" width="37.25" style="269" customWidth="1"/>
    <col min="4372" max="4608" width="9" style="269"/>
    <col min="4609" max="4609" width="5.5" style="269" customWidth="1"/>
    <col min="4610" max="4610" width="5.75" style="269" customWidth="1"/>
    <col min="4611" max="4611" width="26.875" style="269" customWidth="1"/>
    <col min="4612" max="4614" width="9" style="269"/>
    <col min="4615" max="4615" width="19.125" style="269" customWidth="1"/>
    <col min="4616" max="4616" width="9.5" style="269" customWidth="1"/>
    <col min="4617" max="4619" width="9" style="269"/>
    <col min="4620" max="4620" width="8.375" style="269" customWidth="1"/>
    <col min="4621" max="4621" width="10.625" style="269" customWidth="1"/>
    <col min="4622" max="4622" width="11.375" style="269" customWidth="1"/>
    <col min="4623" max="4623" width="10.25" style="269" customWidth="1"/>
    <col min="4624" max="4624" width="16.125" style="269" customWidth="1"/>
    <col min="4625" max="4626" width="9" style="269"/>
    <col min="4627" max="4627" width="37.25" style="269" customWidth="1"/>
    <col min="4628" max="4864" width="9" style="269"/>
    <col min="4865" max="4865" width="5.5" style="269" customWidth="1"/>
    <col min="4866" max="4866" width="5.75" style="269" customWidth="1"/>
    <col min="4867" max="4867" width="26.875" style="269" customWidth="1"/>
    <col min="4868" max="4870" width="9" style="269"/>
    <col min="4871" max="4871" width="19.125" style="269" customWidth="1"/>
    <col min="4872" max="4872" width="9.5" style="269" customWidth="1"/>
    <col min="4873" max="4875" width="9" style="269"/>
    <col min="4876" max="4876" width="8.375" style="269" customWidth="1"/>
    <col min="4877" max="4877" width="10.625" style="269" customWidth="1"/>
    <col min="4878" max="4878" width="11.375" style="269" customWidth="1"/>
    <col min="4879" max="4879" width="10.25" style="269" customWidth="1"/>
    <col min="4880" max="4880" width="16.125" style="269" customWidth="1"/>
    <col min="4881" max="4882" width="9" style="269"/>
    <col min="4883" max="4883" width="37.25" style="269" customWidth="1"/>
    <col min="4884" max="5120" width="9" style="269"/>
    <col min="5121" max="5121" width="5.5" style="269" customWidth="1"/>
    <col min="5122" max="5122" width="5.75" style="269" customWidth="1"/>
    <col min="5123" max="5123" width="26.875" style="269" customWidth="1"/>
    <col min="5124" max="5126" width="9" style="269"/>
    <col min="5127" max="5127" width="19.125" style="269" customWidth="1"/>
    <col min="5128" max="5128" width="9.5" style="269" customWidth="1"/>
    <col min="5129" max="5131" width="9" style="269"/>
    <col min="5132" max="5132" width="8.375" style="269" customWidth="1"/>
    <col min="5133" max="5133" width="10.625" style="269" customWidth="1"/>
    <col min="5134" max="5134" width="11.375" style="269" customWidth="1"/>
    <col min="5135" max="5135" width="10.25" style="269" customWidth="1"/>
    <col min="5136" max="5136" width="16.125" style="269" customWidth="1"/>
    <col min="5137" max="5138" width="9" style="269"/>
    <col min="5139" max="5139" width="37.25" style="269" customWidth="1"/>
    <col min="5140" max="5376" width="9" style="269"/>
    <col min="5377" max="5377" width="5.5" style="269" customWidth="1"/>
    <col min="5378" max="5378" width="5.75" style="269" customWidth="1"/>
    <col min="5379" max="5379" width="26.875" style="269" customWidth="1"/>
    <col min="5380" max="5382" width="9" style="269"/>
    <col min="5383" max="5383" width="19.125" style="269" customWidth="1"/>
    <col min="5384" max="5384" width="9.5" style="269" customWidth="1"/>
    <col min="5385" max="5387" width="9" style="269"/>
    <col min="5388" max="5388" width="8.375" style="269" customWidth="1"/>
    <col min="5389" max="5389" width="10.625" style="269" customWidth="1"/>
    <col min="5390" max="5390" width="11.375" style="269" customWidth="1"/>
    <col min="5391" max="5391" width="10.25" style="269" customWidth="1"/>
    <col min="5392" max="5392" width="16.125" style="269" customWidth="1"/>
    <col min="5393" max="5394" width="9" style="269"/>
    <col min="5395" max="5395" width="37.25" style="269" customWidth="1"/>
    <col min="5396" max="5632" width="9" style="269"/>
    <col min="5633" max="5633" width="5.5" style="269" customWidth="1"/>
    <col min="5634" max="5634" width="5.75" style="269" customWidth="1"/>
    <col min="5635" max="5635" width="26.875" style="269" customWidth="1"/>
    <col min="5636" max="5638" width="9" style="269"/>
    <col min="5639" max="5639" width="19.125" style="269" customWidth="1"/>
    <col min="5640" max="5640" width="9.5" style="269" customWidth="1"/>
    <col min="5641" max="5643" width="9" style="269"/>
    <col min="5644" max="5644" width="8.375" style="269" customWidth="1"/>
    <col min="5645" max="5645" width="10.625" style="269" customWidth="1"/>
    <col min="5646" max="5646" width="11.375" style="269" customWidth="1"/>
    <col min="5647" max="5647" width="10.25" style="269" customWidth="1"/>
    <col min="5648" max="5648" width="16.125" style="269" customWidth="1"/>
    <col min="5649" max="5650" width="9" style="269"/>
    <col min="5651" max="5651" width="37.25" style="269" customWidth="1"/>
    <col min="5652" max="5888" width="9" style="269"/>
    <col min="5889" max="5889" width="5.5" style="269" customWidth="1"/>
    <col min="5890" max="5890" width="5.75" style="269" customWidth="1"/>
    <col min="5891" max="5891" width="26.875" style="269" customWidth="1"/>
    <col min="5892" max="5894" width="9" style="269"/>
    <col min="5895" max="5895" width="19.125" style="269" customWidth="1"/>
    <col min="5896" max="5896" width="9.5" style="269" customWidth="1"/>
    <col min="5897" max="5899" width="9" style="269"/>
    <col min="5900" max="5900" width="8.375" style="269" customWidth="1"/>
    <col min="5901" max="5901" width="10.625" style="269" customWidth="1"/>
    <col min="5902" max="5902" width="11.375" style="269" customWidth="1"/>
    <col min="5903" max="5903" width="10.25" style="269" customWidth="1"/>
    <col min="5904" max="5904" width="16.125" style="269" customWidth="1"/>
    <col min="5905" max="5906" width="9" style="269"/>
    <col min="5907" max="5907" width="37.25" style="269" customWidth="1"/>
    <col min="5908" max="6144" width="9" style="269"/>
    <col min="6145" max="6145" width="5.5" style="269" customWidth="1"/>
    <col min="6146" max="6146" width="5.75" style="269" customWidth="1"/>
    <col min="6147" max="6147" width="26.875" style="269" customWidth="1"/>
    <col min="6148" max="6150" width="9" style="269"/>
    <col min="6151" max="6151" width="19.125" style="269" customWidth="1"/>
    <col min="6152" max="6152" width="9.5" style="269" customWidth="1"/>
    <col min="6153" max="6155" width="9" style="269"/>
    <col min="6156" max="6156" width="8.375" style="269" customWidth="1"/>
    <col min="6157" max="6157" width="10.625" style="269" customWidth="1"/>
    <col min="6158" max="6158" width="11.375" style="269" customWidth="1"/>
    <col min="6159" max="6159" width="10.25" style="269" customWidth="1"/>
    <col min="6160" max="6160" width="16.125" style="269" customWidth="1"/>
    <col min="6161" max="6162" width="9" style="269"/>
    <col min="6163" max="6163" width="37.25" style="269" customWidth="1"/>
    <col min="6164" max="6400" width="9" style="269"/>
    <col min="6401" max="6401" width="5.5" style="269" customWidth="1"/>
    <col min="6402" max="6402" width="5.75" style="269" customWidth="1"/>
    <col min="6403" max="6403" width="26.875" style="269" customWidth="1"/>
    <col min="6404" max="6406" width="9" style="269"/>
    <col min="6407" max="6407" width="19.125" style="269" customWidth="1"/>
    <col min="6408" max="6408" width="9.5" style="269" customWidth="1"/>
    <col min="6409" max="6411" width="9" style="269"/>
    <col min="6412" max="6412" width="8.375" style="269" customWidth="1"/>
    <col min="6413" max="6413" width="10.625" style="269" customWidth="1"/>
    <col min="6414" max="6414" width="11.375" style="269" customWidth="1"/>
    <col min="6415" max="6415" width="10.25" style="269" customWidth="1"/>
    <col min="6416" max="6416" width="16.125" style="269" customWidth="1"/>
    <col min="6417" max="6418" width="9" style="269"/>
    <col min="6419" max="6419" width="37.25" style="269" customWidth="1"/>
    <col min="6420" max="6656" width="9" style="269"/>
    <col min="6657" max="6657" width="5.5" style="269" customWidth="1"/>
    <col min="6658" max="6658" width="5.75" style="269" customWidth="1"/>
    <col min="6659" max="6659" width="26.875" style="269" customWidth="1"/>
    <col min="6660" max="6662" width="9" style="269"/>
    <col min="6663" max="6663" width="19.125" style="269" customWidth="1"/>
    <col min="6664" max="6664" width="9.5" style="269" customWidth="1"/>
    <col min="6665" max="6667" width="9" style="269"/>
    <col min="6668" max="6668" width="8.375" style="269" customWidth="1"/>
    <col min="6669" max="6669" width="10.625" style="269" customWidth="1"/>
    <col min="6670" max="6670" width="11.375" style="269" customWidth="1"/>
    <col min="6671" max="6671" width="10.25" style="269" customWidth="1"/>
    <col min="6672" max="6672" width="16.125" style="269" customWidth="1"/>
    <col min="6673" max="6674" width="9" style="269"/>
    <col min="6675" max="6675" width="37.25" style="269" customWidth="1"/>
    <col min="6676" max="6912" width="9" style="269"/>
    <col min="6913" max="6913" width="5.5" style="269" customWidth="1"/>
    <col min="6914" max="6914" width="5.75" style="269" customWidth="1"/>
    <col min="6915" max="6915" width="26.875" style="269" customWidth="1"/>
    <col min="6916" max="6918" width="9" style="269"/>
    <col min="6919" max="6919" width="19.125" style="269" customWidth="1"/>
    <col min="6920" max="6920" width="9.5" style="269" customWidth="1"/>
    <col min="6921" max="6923" width="9" style="269"/>
    <col min="6924" max="6924" width="8.375" style="269" customWidth="1"/>
    <col min="6925" max="6925" width="10.625" style="269" customWidth="1"/>
    <col min="6926" max="6926" width="11.375" style="269" customWidth="1"/>
    <col min="6927" max="6927" width="10.25" style="269" customWidth="1"/>
    <col min="6928" max="6928" width="16.125" style="269" customWidth="1"/>
    <col min="6929" max="6930" width="9" style="269"/>
    <col min="6931" max="6931" width="37.25" style="269" customWidth="1"/>
    <col min="6932" max="7168" width="9" style="269"/>
    <col min="7169" max="7169" width="5.5" style="269" customWidth="1"/>
    <col min="7170" max="7170" width="5.75" style="269" customWidth="1"/>
    <col min="7171" max="7171" width="26.875" style="269" customWidth="1"/>
    <col min="7172" max="7174" width="9" style="269"/>
    <col min="7175" max="7175" width="19.125" style="269" customWidth="1"/>
    <col min="7176" max="7176" width="9.5" style="269" customWidth="1"/>
    <col min="7177" max="7179" width="9" style="269"/>
    <col min="7180" max="7180" width="8.375" style="269" customWidth="1"/>
    <col min="7181" max="7181" width="10.625" style="269" customWidth="1"/>
    <col min="7182" max="7182" width="11.375" style="269" customWidth="1"/>
    <col min="7183" max="7183" width="10.25" style="269" customWidth="1"/>
    <col min="7184" max="7184" width="16.125" style="269" customWidth="1"/>
    <col min="7185" max="7186" width="9" style="269"/>
    <col min="7187" max="7187" width="37.25" style="269" customWidth="1"/>
    <col min="7188" max="7424" width="9" style="269"/>
    <col min="7425" max="7425" width="5.5" style="269" customWidth="1"/>
    <col min="7426" max="7426" width="5.75" style="269" customWidth="1"/>
    <col min="7427" max="7427" width="26.875" style="269" customWidth="1"/>
    <col min="7428" max="7430" width="9" style="269"/>
    <col min="7431" max="7431" width="19.125" style="269" customWidth="1"/>
    <col min="7432" max="7432" width="9.5" style="269" customWidth="1"/>
    <col min="7433" max="7435" width="9" style="269"/>
    <col min="7436" max="7436" width="8.375" style="269" customWidth="1"/>
    <col min="7437" max="7437" width="10.625" style="269" customWidth="1"/>
    <col min="7438" max="7438" width="11.375" style="269" customWidth="1"/>
    <col min="7439" max="7439" width="10.25" style="269" customWidth="1"/>
    <col min="7440" max="7440" width="16.125" style="269" customWidth="1"/>
    <col min="7441" max="7442" width="9" style="269"/>
    <col min="7443" max="7443" width="37.25" style="269" customWidth="1"/>
    <col min="7444" max="7680" width="9" style="269"/>
    <col min="7681" max="7681" width="5.5" style="269" customWidth="1"/>
    <col min="7682" max="7682" width="5.75" style="269" customWidth="1"/>
    <col min="7683" max="7683" width="26.875" style="269" customWidth="1"/>
    <col min="7684" max="7686" width="9" style="269"/>
    <col min="7687" max="7687" width="19.125" style="269" customWidth="1"/>
    <col min="7688" max="7688" width="9.5" style="269" customWidth="1"/>
    <col min="7689" max="7691" width="9" style="269"/>
    <col min="7692" max="7692" width="8.375" style="269" customWidth="1"/>
    <col min="7693" max="7693" width="10.625" style="269" customWidth="1"/>
    <col min="7694" max="7694" width="11.375" style="269" customWidth="1"/>
    <col min="7695" max="7695" width="10.25" style="269" customWidth="1"/>
    <col min="7696" max="7696" width="16.125" style="269" customWidth="1"/>
    <col min="7697" max="7698" width="9" style="269"/>
    <col min="7699" max="7699" width="37.25" style="269" customWidth="1"/>
    <col min="7700" max="7936" width="9" style="269"/>
    <col min="7937" max="7937" width="5.5" style="269" customWidth="1"/>
    <col min="7938" max="7938" width="5.75" style="269" customWidth="1"/>
    <col min="7939" max="7939" width="26.875" style="269" customWidth="1"/>
    <col min="7940" max="7942" width="9" style="269"/>
    <col min="7943" max="7943" width="19.125" style="269" customWidth="1"/>
    <col min="7944" max="7944" width="9.5" style="269" customWidth="1"/>
    <col min="7945" max="7947" width="9" style="269"/>
    <col min="7948" max="7948" width="8.375" style="269" customWidth="1"/>
    <col min="7949" max="7949" width="10.625" style="269" customWidth="1"/>
    <col min="7950" max="7950" width="11.375" style="269" customWidth="1"/>
    <col min="7951" max="7951" width="10.25" style="269" customWidth="1"/>
    <col min="7952" max="7952" width="16.125" style="269" customWidth="1"/>
    <col min="7953" max="7954" width="9" style="269"/>
    <col min="7955" max="7955" width="37.25" style="269" customWidth="1"/>
    <col min="7956" max="8192" width="9" style="269"/>
    <col min="8193" max="8193" width="5.5" style="269" customWidth="1"/>
    <col min="8194" max="8194" width="5.75" style="269" customWidth="1"/>
    <col min="8195" max="8195" width="26.875" style="269" customWidth="1"/>
    <col min="8196" max="8198" width="9" style="269"/>
    <col min="8199" max="8199" width="19.125" style="269" customWidth="1"/>
    <col min="8200" max="8200" width="9.5" style="269" customWidth="1"/>
    <col min="8201" max="8203" width="9" style="269"/>
    <col min="8204" max="8204" width="8.375" style="269" customWidth="1"/>
    <col min="8205" max="8205" width="10.625" style="269" customWidth="1"/>
    <col min="8206" max="8206" width="11.375" style="269" customWidth="1"/>
    <col min="8207" max="8207" width="10.25" style="269" customWidth="1"/>
    <col min="8208" max="8208" width="16.125" style="269" customWidth="1"/>
    <col min="8209" max="8210" width="9" style="269"/>
    <col min="8211" max="8211" width="37.25" style="269" customWidth="1"/>
    <col min="8212" max="8448" width="9" style="269"/>
    <col min="8449" max="8449" width="5.5" style="269" customWidth="1"/>
    <col min="8450" max="8450" width="5.75" style="269" customWidth="1"/>
    <col min="8451" max="8451" width="26.875" style="269" customWidth="1"/>
    <col min="8452" max="8454" width="9" style="269"/>
    <col min="8455" max="8455" width="19.125" style="269" customWidth="1"/>
    <col min="8456" max="8456" width="9.5" style="269" customWidth="1"/>
    <col min="8457" max="8459" width="9" style="269"/>
    <col min="8460" max="8460" width="8.375" style="269" customWidth="1"/>
    <col min="8461" max="8461" width="10.625" style="269" customWidth="1"/>
    <col min="8462" max="8462" width="11.375" style="269" customWidth="1"/>
    <col min="8463" max="8463" width="10.25" style="269" customWidth="1"/>
    <col min="8464" max="8464" width="16.125" style="269" customWidth="1"/>
    <col min="8465" max="8466" width="9" style="269"/>
    <col min="8467" max="8467" width="37.25" style="269" customWidth="1"/>
    <col min="8468" max="8704" width="9" style="269"/>
    <col min="8705" max="8705" width="5.5" style="269" customWidth="1"/>
    <col min="8706" max="8706" width="5.75" style="269" customWidth="1"/>
    <col min="8707" max="8707" width="26.875" style="269" customWidth="1"/>
    <col min="8708" max="8710" width="9" style="269"/>
    <col min="8711" max="8711" width="19.125" style="269" customWidth="1"/>
    <col min="8712" max="8712" width="9.5" style="269" customWidth="1"/>
    <col min="8713" max="8715" width="9" style="269"/>
    <col min="8716" max="8716" width="8.375" style="269" customWidth="1"/>
    <col min="8717" max="8717" width="10.625" style="269" customWidth="1"/>
    <col min="8718" max="8718" width="11.375" style="269" customWidth="1"/>
    <col min="8719" max="8719" width="10.25" style="269" customWidth="1"/>
    <col min="8720" max="8720" width="16.125" style="269" customWidth="1"/>
    <col min="8721" max="8722" width="9" style="269"/>
    <col min="8723" max="8723" width="37.25" style="269" customWidth="1"/>
    <col min="8724" max="8960" width="9" style="269"/>
    <col min="8961" max="8961" width="5.5" style="269" customWidth="1"/>
    <col min="8962" max="8962" width="5.75" style="269" customWidth="1"/>
    <col min="8963" max="8963" width="26.875" style="269" customWidth="1"/>
    <col min="8964" max="8966" width="9" style="269"/>
    <col min="8967" max="8967" width="19.125" style="269" customWidth="1"/>
    <col min="8968" max="8968" width="9.5" style="269" customWidth="1"/>
    <col min="8969" max="8971" width="9" style="269"/>
    <col min="8972" max="8972" width="8.375" style="269" customWidth="1"/>
    <col min="8973" max="8973" width="10.625" style="269" customWidth="1"/>
    <col min="8974" max="8974" width="11.375" style="269" customWidth="1"/>
    <col min="8975" max="8975" width="10.25" style="269" customWidth="1"/>
    <col min="8976" max="8976" width="16.125" style="269" customWidth="1"/>
    <col min="8977" max="8978" width="9" style="269"/>
    <col min="8979" max="8979" width="37.25" style="269" customWidth="1"/>
    <col min="8980" max="9216" width="9" style="269"/>
    <col min="9217" max="9217" width="5.5" style="269" customWidth="1"/>
    <col min="9218" max="9218" width="5.75" style="269" customWidth="1"/>
    <col min="9219" max="9219" width="26.875" style="269" customWidth="1"/>
    <col min="9220" max="9222" width="9" style="269"/>
    <col min="9223" max="9223" width="19.125" style="269" customWidth="1"/>
    <col min="9224" max="9224" width="9.5" style="269" customWidth="1"/>
    <col min="9225" max="9227" width="9" style="269"/>
    <col min="9228" max="9228" width="8.375" style="269" customWidth="1"/>
    <col min="9229" max="9229" width="10.625" style="269" customWidth="1"/>
    <col min="9230" max="9230" width="11.375" style="269" customWidth="1"/>
    <col min="9231" max="9231" width="10.25" style="269" customWidth="1"/>
    <col min="9232" max="9232" width="16.125" style="269" customWidth="1"/>
    <col min="9233" max="9234" width="9" style="269"/>
    <col min="9235" max="9235" width="37.25" style="269" customWidth="1"/>
    <col min="9236" max="9472" width="9" style="269"/>
    <col min="9473" max="9473" width="5.5" style="269" customWidth="1"/>
    <col min="9474" max="9474" width="5.75" style="269" customWidth="1"/>
    <col min="9475" max="9475" width="26.875" style="269" customWidth="1"/>
    <col min="9476" max="9478" width="9" style="269"/>
    <col min="9479" max="9479" width="19.125" style="269" customWidth="1"/>
    <col min="9480" max="9480" width="9.5" style="269" customWidth="1"/>
    <col min="9481" max="9483" width="9" style="269"/>
    <col min="9484" max="9484" width="8.375" style="269" customWidth="1"/>
    <col min="9485" max="9485" width="10.625" style="269" customWidth="1"/>
    <col min="9486" max="9486" width="11.375" style="269" customWidth="1"/>
    <col min="9487" max="9487" width="10.25" style="269" customWidth="1"/>
    <col min="9488" max="9488" width="16.125" style="269" customWidth="1"/>
    <col min="9489" max="9490" width="9" style="269"/>
    <col min="9491" max="9491" width="37.25" style="269" customWidth="1"/>
    <col min="9492" max="9728" width="9" style="269"/>
    <col min="9729" max="9729" width="5.5" style="269" customWidth="1"/>
    <col min="9730" max="9730" width="5.75" style="269" customWidth="1"/>
    <col min="9731" max="9731" width="26.875" style="269" customWidth="1"/>
    <col min="9732" max="9734" width="9" style="269"/>
    <col min="9735" max="9735" width="19.125" style="269" customWidth="1"/>
    <col min="9736" max="9736" width="9.5" style="269" customWidth="1"/>
    <col min="9737" max="9739" width="9" style="269"/>
    <col min="9740" max="9740" width="8.375" style="269" customWidth="1"/>
    <col min="9741" max="9741" width="10.625" style="269" customWidth="1"/>
    <col min="9742" max="9742" width="11.375" style="269" customWidth="1"/>
    <col min="9743" max="9743" width="10.25" style="269" customWidth="1"/>
    <col min="9744" max="9744" width="16.125" style="269" customWidth="1"/>
    <col min="9745" max="9746" width="9" style="269"/>
    <col min="9747" max="9747" width="37.25" style="269" customWidth="1"/>
    <col min="9748" max="9984" width="9" style="269"/>
    <col min="9985" max="9985" width="5.5" style="269" customWidth="1"/>
    <col min="9986" max="9986" width="5.75" style="269" customWidth="1"/>
    <col min="9987" max="9987" width="26.875" style="269" customWidth="1"/>
    <col min="9988" max="9990" width="9" style="269"/>
    <col min="9991" max="9991" width="19.125" style="269" customWidth="1"/>
    <col min="9992" max="9992" width="9.5" style="269" customWidth="1"/>
    <col min="9993" max="9995" width="9" style="269"/>
    <col min="9996" max="9996" width="8.375" style="269" customWidth="1"/>
    <col min="9997" max="9997" width="10.625" style="269" customWidth="1"/>
    <col min="9998" max="9998" width="11.375" style="269" customWidth="1"/>
    <col min="9999" max="9999" width="10.25" style="269" customWidth="1"/>
    <col min="10000" max="10000" width="16.125" style="269" customWidth="1"/>
    <col min="10001" max="10002" width="9" style="269"/>
    <col min="10003" max="10003" width="37.25" style="269" customWidth="1"/>
    <col min="10004" max="10240" width="9" style="269"/>
    <col min="10241" max="10241" width="5.5" style="269" customWidth="1"/>
    <col min="10242" max="10242" width="5.75" style="269" customWidth="1"/>
    <col min="10243" max="10243" width="26.875" style="269" customWidth="1"/>
    <col min="10244" max="10246" width="9" style="269"/>
    <col min="10247" max="10247" width="19.125" style="269" customWidth="1"/>
    <col min="10248" max="10248" width="9.5" style="269" customWidth="1"/>
    <col min="10249" max="10251" width="9" style="269"/>
    <col min="10252" max="10252" width="8.375" style="269" customWidth="1"/>
    <col min="10253" max="10253" width="10.625" style="269" customWidth="1"/>
    <col min="10254" max="10254" width="11.375" style="269" customWidth="1"/>
    <col min="10255" max="10255" width="10.25" style="269" customWidth="1"/>
    <col min="10256" max="10256" width="16.125" style="269" customWidth="1"/>
    <col min="10257" max="10258" width="9" style="269"/>
    <col min="10259" max="10259" width="37.25" style="269" customWidth="1"/>
    <col min="10260" max="10496" width="9" style="269"/>
    <col min="10497" max="10497" width="5.5" style="269" customWidth="1"/>
    <col min="10498" max="10498" width="5.75" style="269" customWidth="1"/>
    <col min="10499" max="10499" width="26.875" style="269" customWidth="1"/>
    <col min="10500" max="10502" width="9" style="269"/>
    <col min="10503" max="10503" width="19.125" style="269" customWidth="1"/>
    <col min="10504" max="10504" width="9.5" style="269" customWidth="1"/>
    <col min="10505" max="10507" width="9" style="269"/>
    <col min="10508" max="10508" width="8.375" style="269" customWidth="1"/>
    <col min="10509" max="10509" width="10.625" style="269" customWidth="1"/>
    <col min="10510" max="10510" width="11.375" style="269" customWidth="1"/>
    <col min="10511" max="10511" width="10.25" style="269" customWidth="1"/>
    <col min="10512" max="10512" width="16.125" style="269" customWidth="1"/>
    <col min="10513" max="10514" width="9" style="269"/>
    <col min="10515" max="10515" width="37.25" style="269" customWidth="1"/>
    <col min="10516" max="10752" width="9" style="269"/>
    <col min="10753" max="10753" width="5.5" style="269" customWidth="1"/>
    <col min="10754" max="10754" width="5.75" style="269" customWidth="1"/>
    <col min="10755" max="10755" width="26.875" style="269" customWidth="1"/>
    <col min="10756" max="10758" width="9" style="269"/>
    <col min="10759" max="10759" width="19.125" style="269" customWidth="1"/>
    <col min="10760" max="10760" width="9.5" style="269" customWidth="1"/>
    <col min="10761" max="10763" width="9" style="269"/>
    <col min="10764" max="10764" width="8.375" style="269" customWidth="1"/>
    <col min="10765" max="10765" width="10.625" style="269" customWidth="1"/>
    <col min="10766" max="10766" width="11.375" style="269" customWidth="1"/>
    <col min="10767" max="10767" width="10.25" style="269" customWidth="1"/>
    <col min="10768" max="10768" width="16.125" style="269" customWidth="1"/>
    <col min="10769" max="10770" width="9" style="269"/>
    <col min="10771" max="10771" width="37.25" style="269" customWidth="1"/>
    <col min="10772" max="11008" width="9" style="269"/>
    <col min="11009" max="11009" width="5.5" style="269" customWidth="1"/>
    <col min="11010" max="11010" width="5.75" style="269" customWidth="1"/>
    <col min="11011" max="11011" width="26.875" style="269" customWidth="1"/>
    <col min="11012" max="11014" width="9" style="269"/>
    <col min="11015" max="11015" width="19.125" style="269" customWidth="1"/>
    <col min="11016" max="11016" width="9.5" style="269" customWidth="1"/>
    <col min="11017" max="11019" width="9" style="269"/>
    <col min="11020" max="11020" width="8.375" style="269" customWidth="1"/>
    <col min="11021" max="11021" width="10.625" style="269" customWidth="1"/>
    <col min="11022" max="11022" width="11.375" style="269" customWidth="1"/>
    <col min="11023" max="11023" width="10.25" style="269" customWidth="1"/>
    <col min="11024" max="11024" width="16.125" style="269" customWidth="1"/>
    <col min="11025" max="11026" width="9" style="269"/>
    <col min="11027" max="11027" width="37.25" style="269" customWidth="1"/>
    <col min="11028" max="11264" width="9" style="269"/>
    <col min="11265" max="11265" width="5.5" style="269" customWidth="1"/>
    <col min="11266" max="11266" width="5.75" style="269" customWidth="1"/>
    <col min="11267" max="11267" width="26.875" style="269" customWidth="1"/>
    <col min="11268" max="11270" width="9" style="269"/>
    <col min="11271" max="11271" width="19.125" style="269" customWidth="1"/>
    <col min="11272" max="11272" width="9.5" style="269" customWidth="1"/>
    <col min="11273" max="11275" width="9" style="269"/>
    <col min="11276" max="11276" width="8.375" style="269" customWidth="1"/>
    <col min="11277" max="11277" width="10.625" style="269" customWidth="1"/>
    <col min="11278" max="11278" width="11.375" style="269" customWidth="1"/>
    <col min="11279" max="11279" width="10.25" style="269" customWidth="1"/>
    <col min="11280" max="11280" width="16.125" style="269" customWidth="1"/>
    <col min="11281" max="11282" width="9" style="269"/>
    <col min="11283" max="11283" width="37.25" style="269" customWidth="1"/>
    <col min="11284" max="11520" width="9" style="269"/>
    <col min="11521" max="11521" width="5.5" style="269" customWidth="1"/>
    <col min="11522" max="11522" width="5.75" style="269" customWidth="1"/>
    <col min="11523" max="11523" width="26.875" style="269" customWidth="1"/>
    <col min="11524" max="11526" width="9" style="269"/>
    <col min="11527" max="11527" width="19.125" style="269" customWidth="1"/>
    <col min="11528" max="11528" width="9.5" style="269" customWidth="1"/>
    <col min="11529" max="11531" width="9" style="269"/>
    <col min="11532" max="11532" width="8.375" style="269" customWidth="1"/>
    <col min="11533" max="11533" width="10.625" style="269" customWidth="1"/>
    <col min="11534" max="11534" width="11.375" style="269" customWidth="1"/>
    <col min="11535" max="11535" width="10.25" style="269" customWidth="1"/>
    <col min="11536" max="11536" width="16.125" style="269" customWidth="1"/>
    <col min="11537" max="11538" width="9" style="269"/>
    <col min="11539" max="11539" width="37.25" style="269" customWidth="1"/>
    <col min="11540" max="11776" width="9" style="269"/>
    <col min="11777" max="11777" width="5.5" style="269" customWidth="1"/>
    <col min="11778" max="11778" width="5.75" style="269" customWidth="1"/>
    <col min="11779" max="11779" width="26.875" style="269" customWidth="1"/>
    <col min="11780" max="11782" width="9" style="269"/>
    <col min="11783" max="11783" width="19.125" style="269" customWidth="1"/>
    <col min="11784" max="11784" width="9.5" style="269" customWidth="1"/>
    <col min="11785" max="11787" width="9" style="269"/>
    <col min="11788" max="11788" width="8.375" style="269" customWidth="1"/>
    <col min="11789" max="11789" width="10.625" style="269" customWidth="1"/>
    <col min="11790" max="11790" width="11.375" style="269" customWidth="1"/>
    <col min="11791" max="11791" width="10.25" style="269" customWidth="1"/>
    <col min="11792" max="11792" width="16.125" style="269" customWidth="1"/>
    <col min="11793" max="11794" width="9" style="269"/>
    <col min="11795" max="11795" width="37.25" style="269" customWidth="1"/>
    <col min="11796" max="12032" width="9" style="269"/>
    <col min="12033" max="12033" width="5.5" style="269" customWidth="1"/>
    <col min="12034" max="12034" width="5.75" style="269" customWidth="1"/>
    <col min="12035" max="12035" width="26.875" style="269" customWidth="1"/>
    <col min="12036" max="12038" width="9" style="269"/>
    <col min="12039" max="12039" width="19.125" style="269" customWidth="1"/>
    <col min="12040" max="12040" width="9.5" style="269" customWidth="1"/>
    <col min="12041" max="12043" width="9" style="269"/>
    <col min="12044" max="12044" width="8.375" style="269" customWidth="1"/>
    <col min="12045" max="12045" width="10.625" style="269" customWidth="1"/>
    <col min="12046" max="12046" width="11.375" style="269" customWidth="1"/>
    <col min="12047" max="12047" width="10.25" style="269" customWidth="1"/>
    <col min="12048" max="12048" width="16.125" style="269" customWidth="1"/>
    <col min="12049" max="12050" width="9" style="269"/>
    <col min="12051" max="12051" width="37.25" style="269" customWidth="1"/>
    <col min="12052" max="12288" width="9" style="269"/>
    <col min="12289" max="12289" width="5.5" style="269" customWidth="1"/>
    <col min="12290" max="12290" width="5.75" style="269" customWidth="1"/>
    <col min="12291" max="12291" width="26.875" style="269" customWidth="1"/>
    <col min="12292" max="12294" width="9" style="269"/>
    <col min="12295" max="12295" width="19.125" style="269" customWidth="1"/>
    <col min="12296" max="12296" width="9.5" style="269" customWidth="1"/>
    <col min="12297" max="12299" width="9" style="269"/>
    <col min="12300" max="12300" width="8.375" style="269" customWidth="1"/>
    <col min="12301" max="12301" width="10.625" style="269" customWidth="1"/>
    <col min="12302" max="12302" width="11.375" style="269" customWidth="1"/>
    <col min="12303" max="12303" width="10.25" style="269" customWidth="1"/>
    <col min="12304" max="12304" width="16.125" style="269" customWidth="1"/>
    <col min="12305" max="12306" width="9" style="269"/>
    <col min="12307" max="12307" width="37.25" style="269" customWidth="1"/>
    <col min="12308" max="12544" width="9" style="269"/>
    <col min="12545" max="12545" width="5.5" style="269" customWidth="1"/>
    <col min="12546" max="12546" width="5.75" style="269" customWidth="1"/>
    <col min="12547" max="12547" width="26.875" style="269" customWidth="1"/>
    <col min="12548" max="12550" width="9" style="269"/>
    <col min="12551" max="12551" width="19.125" style="269" customWidth="1"/>
    <col min="12552" max="12552" width="9.5" style="269" customWidth="1"/>
    <col min="12553" max="12555" width="9" style="269"/>
    <col min="12556" max="12556" width="8.375" style="269" customWidth="1"/>
    <col min="12557" max="12557" width="10.625" style="269" customWidth="1"/>
    <col min="12558" max="12558" width="11.375" style="269" customWidth="1"/>
    <col min="12559" max="12559" width="10.25" style="269" customWidth="1"/>
    <col min="12560" max="12560" width="16.125" style="269" customWidth="1"/>
    <col min="12561" max="12562" width="9" style="269"/>
    <col min="12563" max="12563" width="37.25" style="269" customWidth="1"/>
    <col min="12564" max="12800" width="9" style="269"/>
    <col min="12801" max="12801" width="5.5" style="269" customWidth="1"/>
    <col min="12802" max="12802" width="5.75" style="269" customWidth="1"/>
    <col min="12803" max="12803" width="26.875" style="269" customWidth="1"/>
    <col min="12804" max="12806" width="9" style="269"/>
    <col min="12807" max="12807" width="19.125" style="269" customWidth="1"/>
    <col min="12808" max="12808" width="9.5" style="269" customWidth="1"/>
    <col min="12809" max="12811" width="9" style="269"/>
    <col min="12812" max="12812" width="8.375" style="269" customWidth="1"/>
    <col min="12813" max="12813" width="10.625" style="269" customWidth="1"/>
    <col min="12814" max="12814" width="11.375" style="269" customWidth="1"/>
    <col min="12815" max="12815" width="10.25" style="269" customWidth="1"/>
    <col min="12816" max="12816" width="16.125" style="269" customWidth="1"/>
    <col min="12817" max="12818" width="9" style="269"/>
    <col min="12819" max="12819" width="37.25" style="269" customWidth="1"/>
    <col min="12820" max="13056" width="9" style="269"/>
    <col min="13057" max="13057" width="5.5" style="269" customWidth="1"/>
    <col min="13058" max="13058" width="5.75" style="269" customWidth="1"/>
    <col min="13059" max="13059" width="26.875" style="269" customWidth="1"/>
    <col min="13060" max="13062" width="9" style="269"/>
    <col min="13063" max="13063" width="19.125" style="269" customWidth="1"/>
    <col min="13064" max="13064" width="9.5" style="269" customWidth="1"/>
    <col min="13065" max="13067" width="9" style="269"/>
    <col min="13068" max="13068" width="8.375" style="269" customWidth="1"/>
    <col min="13069" max="13069" width="10.625" style="269" customWidth="1"/>
    <col min="13070" max="13070" width="11.375" style="269" customWidth="1"/>
    <col min="13071" max="13071" width="10.25" style="269" customWidth="1"/>
    <col min="13072" max="13072" width="16.125" style="269" customWidth="1"/>
    <col min="13073" max="13074" width="9" style="269"/>
    <col min="13075" max="13075" width="37.25" style="269" customWidth="1"/>
    <col min="13076" max="13312" width="9" style="269"/>
    <col min="13313" max="13313" width="5.5" style="269" customWidth="1"/>
    <col min="13314" max="13314" width="5.75" style="269" customWidth="1"/>
    <col min="13315" max="13315" width="26.875" style="269" customWidth="1"/>
    <col min="13316" max="13318" width="9" style="269"/>
    <col min="13319" max="13319" width="19.125" style="269" customWidth="1"/>
    <col min="13320" max="13320" width="9.5" style="269" customWidth="1"/>
    <col min="13321" max="13323" width="9" style="269"/>
    <col min="13324" max="13324" width="8.375" style="269" customWidth="1"/>
    <col min="13325" max="13325" width="10.625" style="269" customWidth="1"/>
    <col min="13326" max="13326" width="11.375" style="269" customWidth="1"/>
    <col min="13327" max="13327" width="10.25" style="269" customWidth="1"/>
    <col min="13328" max="13328" width="16.125" style="269" customWidth="1"/>
    <col min="13329" max="13330" width="9" style="269"/>
    <col min="13331" max="13331" width="37.25" style="269" customWidth="1"/>
    <col min="13332" max="13568" width="9" style="269"/>
    <col min="13569" max="13569" width="5.5" style="269" customWidth="1"/>
    <col min="13570" max="13570" width="5.75" style="269" customWidth="1"/>
    <col min="13571" max="13571" width="26.875" style="269" customWidth="1"/>
    <col min="13572" max="13574" width="9" style="269"/>
    <col min="13575" max="13575" width="19.125" style="269" customWidth="1"/>
    <col min="13576" max="13576" width="9.5" style="269" customWidth="1"/>
    <col min="13577" max="13579" width="9" style="269"/>
    <col min="13580" max="13580" width="8.375" style="269" customWidth="1"/>
    <col min="13581" max="13581" width="10.625" style="269" customWidth="1"/>
    <col min="13582" max="13582" width="11.375" style="269" customWidth="1"/>
    <col min="13583" max="13583" width="10.25" style="269" customWidth="1"/>
    <col min="13584" max="13584" width="16.125" style="269" customWidth="1"/>
    <col min="13585" max="13586" width="9" style="269"/>
    <col min="13587" max="13587" width="37.25" style="269" customWidth="1"/>
    <col min="13588" max="13824" width="9" style="269"/>
    <col min="13825" max="13825" width="5.5" style="269" customWidth="1"/>
    <col min="13826" max="13826" width="5.75" style="269" customWidth="1"/>
    <col min="13827" max="13827" width="26.875" style="269" customWidth="1"/>
    <col min="13828" max="13830" width="9" style="269"/>
    <col min="13831" max="13831" width="19.125" style="269" customWidth="1"/>
    <col min="13832" max="13832" width="9.5" style="269" customWidth="1"/>
    <col min="13833" max="13835" width="9" style="269"/>
    <col min="13836" max="13836" width="8.375" style="269" customWidth="1"/>
    <col min="13837" max="13837" width="10.625" style="269" customWidth="1"/>
    <col min="13838" max="13838" width="11.375" style="269" customWidth="1"/>
    <col min="13839" max="13839" width="10.25" style="269" customWidth="1"/>
    <col min="13840" max="13840" width="16.125" style="269" customWidth="1"/>
    <col min="13841" max="13842" width="9" style="269"/>
    <col min="13843" max="13843" width="37.25" style="269" customWidth="1"/>
    <col min="13844" max="14080" width="9" style="269"/>
    <col min="14081" max="14081" width="5.5" style="269" customWidth="1"/>
    <col min="14082" max="14082" width="5.75" style="269" customWidth="1"/>
    <col min="14083" max="14083" width="26.875" style="269" customWidth="1"/>
    <col min="14084" max="14086" width="9" style="269"/>
    <col min="14087" max="14087" width="19.125" style="269" customWidth="1"/>
    <col min="14088" max="14088" width="9.5" style="269" customWidth="1"/>
    <col min="14089" max="14091" width="9" style="269"/>
    <col min="14092" max="14092" width="8.375" style="269" customWidth="1"/>
    <col min="14093" max="14093" width="10.625" style="269" customWidth="1"/>
    <col min="14094" max="14094" width="11.375" style="269" customWidth="1"/>
    <col min="14095" max="14095" width="10.25" style="269" customWidth="1"/>
    <col min="14096" max="14096" width="16.125" style="269" customWidth="1"/>
    <col min="14097" max="14098" width="9" style="269"/>
    <col min="14099" max="14099" width="37.25" style="269" customWidth="1"/>
    <col min="14100" max="14336" width="9" style="269"/>
    <col min="14337" max="14337" width="5.5" style="269" customWidth="1"/>
    <col min="14338" max="14338" width="5.75" style="269" customWidth="1"/>
    <col min="14339" max="14339" width="26.875" style="269" customWidth="1"/>
    <col min="14340" max="14342" width="9" style="269"/>
    <col min="14343" max="14343" width="19.125" style="269" customWidth="1"/>
    <col min="14344" max="14344" width="9.5" style="269" customWidth="1"/>
    <col min="14345" max="14347" width="9" style="269"/>
    <col min="14348" max="14348" width="8.375" style="269" customWidth="1"/>
    <col min="14349" max="14349" width="10.625" style="269" customWidth="1"/>
    <col min="14350" max="14350" width="11.375" style="269" customWidth="1"/>
    <col min="14351" max="14351" width="10.25" style="269" customWidth="1"/>
    <col min="14352" max="14352" width="16.125" style="269" customWidth="1"/>
    <col min="14353" max="14354" width="9" style="269"/>
    <col min="14355" max="14355" width="37.25" style="269" customWidth="1"/>
    <col min="14356" max="14592" width="9" style="269"/>
    <col min="14593" max="14593" width="5.5" style="269" customWidth="1"/>
    <col min="14594" max="14594" width="5.75" style="269" customWidth="1"/>
    <col min="14595" max="14595" width="26.875" style="269" customWidth="1"/>
    <col min="14596" max="14598" width="9" style="269"/>
    <col min="14599" max="14599" width="19.125" style="269" customWidth="1"/>
    <col min="14600" max="14600" width="9.5" style="269" customWidth="1"/>
    <col min="14601" max="14603" width="9" style="269"/>
    <col min="14604" max="14604" width="8.375" style="269" customWidth="1"/>
    <col min="14605" max="14605" width="10.625" style="269" customWidth="1"/>
    <col min="14606" max="14606" width="11.375" style="269" customWidth="1"/>
    <col min="14607" max="14607" width="10.25" style="269" customWidth="1"/>
    <col min="14608" max="14608" width="16.125" style="269" customWidth="1"/>
    <col min="14609" max="14610" width="9" style="269"/>
    <col min="14611" max="14611" width="37.25" style="269" customWidth="1"/>
    <col min="14612" max="14848" width="9" style="269"/>
    <col min="14849" max="14849" width="5.5" style="269" customWidth="1"/>
    <col min="14850" max="14850" width="5.75" style="269" customWidth="1"/>
    <col min="14851" max="14851" width="26.875" style="269" customWidth="1"/>
    <col min="14852" max="14854" width="9" style="269"/>
    <col min="14855" max="14855" width="19.125" style="269" customWidth="1"/>
    <col min="14856" max="14856" width="9.5" style="269" customWidth="1"/>
    <col min="14857" max="14859" width="9" style="269"/>
    <col min="14860" max="14860" width="8.375" style="269" customWidth="1"/>
    <col min="14861" max="14861" width="10.625" style="269" customWidth="1"/>
    <col min="14862" max="14862" width="11.375" style="269" customWidth="1"/>
    <col min="14863" max="14863" width="10.25" style="269" customWidth="1"/>
    <col min="14864" max="14864" width="16.125" style="269" customWidth="1"/>
    <col min="14865" max="14866" width="9" style="269"/>
    <col min="14867" max="14867" width="37.25" style="269" customWidth="1"/>
    <col min="14868" max="15104" width="9" style="269"/>
    <col min="15105" max="15105" width="5.5" style="269" customWidth="1"/>
    <col min="15106" max="15106" width="5.75" style="269" customWidth="1"/>
    <col min="15107" max="15107" width="26.875" style="269" customWidth="1"/>
    <col min="15108" max="15110" width="9" style="269"/>
    <col min="15111" max="15111" width="19.125" style="269" customWidth="1"/>
    <col min="15112" max="15112" width="9.5" style="269" customWidth="1"/>
    <col min="15113" max="15115" width="9" style="269"/>
    <col min="15116" max="15116" width="8.375" style="269" customWidth="1"/>
    <col min="15117" max="15117" width="10.625" style="269" customWidth="1"/>
    <col min="15118" max="15118" width="11.375" style="269" customWidth="1"/>
    <col min="15119" max="15119" width="10.25" style="269" customWidth="1"/>
    <col min="15120" max="15120" width="16.125" style="269" customWidth="1"/>
    <col min="15121" max="15122" width="9" style="269"/>
    <col min="15123" max="15123" width="37.25" style="269" customWidth="1"/>
    <col min="15124" max="15360" width="9" style="269"/>
    <col min="15361" max="15361" width="5.5" style="269" customWidth="1"/>
    <col min="15362" max="15362" width="5.75" style="269" customWidth="1"/>
    <col min="15363" max="15363" width="26.875" style="269" customWidth="1"/>
    <col min="15364" max="15366" width="9" style="269"/>
    <col min="15367" max="15367" width="19.125" style="269" customWidth="1"/>
    <col min="15368" max="15368" width="9.5" style="269" customWidth="1"/>
    <col min="15369" max="15371" width="9" style="269"/>
    <col min="15372" max="15372" width="8.375" style="269" customWidth="1"/>
    <col min="15373" max="15373" width="10.625" style="269" customWidth="1"/>
    <col min="15374" max="15374" width="11.375" style="269" customWidth="1"/>
    <col min="15375" max="15375" width="10.25" style="269" customWidth="1"/>
    <col min="15376" max="15376" width="16.125" style="269" customWidth="1"/>
    <col min="15377" max="15378" width="9" style="269"/>
    <col min="15379" max="15379" width="37.25" style="269" customWidth="1"/>
    <col min="15380" max="15616" width="9" style="269"/>
    <col min="15617" max="15617" width="5.5" style="269" customWidth="1"/>
    <col min="15618" max="15618" width="5.75" style="269" customWidth="1"/>
    <col min="15619" max="15619" width="26.875" style="269" customWidth="1"/>
    <col min="15620" max="15622" width="9" style="269"/>
    <col min="15623" max="15623" width="19.125" style="269" customWidth="1"/>
    <col min="15624" max="15624" width="9.5" style="269" customWidth="1"/>
    <col min="15625" max="15627" width="9" style="269"/>
    <col min="15628" max="15628" width="8.375" style="269" customWidth="1"/>
    <col min="15629" max="15629" width="10.625" style="269" customWidth="1"/>
    <col min="15630" max="15630" width="11.375" style="269" customWidth="1"/>
    <col min="15631" max="15631" width="10.25" style="269" customWidth="1"/>
    <col min="15632" max="15632" width="16.125" style="269" customWidth="1"/>
    <col min="15633" max="15634" width="9" style="269"/>
    <col min="15635" max="15635" width="37.25" style="269" customWidth="1"/>
    <col min="15636" max="15872" width="9" style="269"/>
    <col min="15873" max="15873" width="5.5" style="269" customWidth="1"/>
    <col min="15874" max="15874" width="5.75" style="269" customWidth="1"/>
    <col min="15875" max="15875" width="26.875" style="269" customWidth="1"/>
    <col min="15876" max="15878" width="9" style="269"/>
    <col min="15879" max="15879" width="19.125" style="269" customWidth="1"/>
    <col min="15880" max="15880" width="9.5" style="269" customWidth="1"/>
    <col min="15881" max="15883" width="9" style="269"/>
    <col min="15884" max="15884" width="8.375" style="269" customWidth="1"/>
    <col min="15885" max="15885" width="10.625" style="269" customWidth="1"/>
    <col min="15886" max="15886" width="11.375" style="269" customWidth="1"/>
    <col min="15887" max="15887" width="10.25" style="269" customWidth="1"/>
    <col min="15888" max="15888" width="16.125" style="269" customWidth="1"/>
    <col min="15889" max="15890" width="9" style="269"/>
    <col min="15891" max="15891" width="37.25" style="269" customWidth="1"/>
    <col min="15892" max="16128" width="9" style="269"/>
    <col min="16129" max="16129" width="5.5" style="269" customWidth="1"/>
    <col min="16130" max="16130" width="5.75" style="269" customWidth="1"/>
    <col min="16131" max="16131" width="26.875" style="269" customWidth="1"/>
    <col min="16132" max="16134" width="9" style="269"/>
    <col min="16135" max="16135" width="19.125" style="269" customWidth="1"/>
    <col min="16136" max="16136" width="9.5" style="269" customWidth="1"/>
    <col min="16137" max="16139" width="9" style="269"/>
    <col min="16140" max="16140" width="8.375" style="269" customWidth="1"/>
    <col min="16141" max="16141" width="10.625" style="269" customWidth="1"/>
    <col min="16142" max="16142" width="11.375" style="269" customWidth="1"/>
    <col min="16143" max="16143" width="10.25" style="269" customWidth="1"/>
    <col min="16144" max="16144" width="16.125" style="269" customWidth="1"/>
    <col min="16145" max="16146" width="9" style="269"/>
    <col min="16147" max="16147" width="37.25" style="269" customWidth="1"/>
    <col min="16148" max="16384" width="9" style="269"/>
  </cols>
  <sheetData>
    <row r="1" spans="1:21" ht="23.25">
      <c r="A1" s="1728" t="s">
        <v>84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  <c r="N1" s="1728"/>
      <c r="O1" s="1728"/>
      <c r="P1" s="1728"/>
      <c r="Q1" s="1728"/>
      <c r="R1" s="1728"/>
      <c r="S1" s="1728"/>
    </row>
    <row r="2" spans="1:21" ht="23.25">
      <c r="A2" s="1728" t="s">
        <v>173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  <c r="Q2" s="1728"/>
      <c r="R2" s="1728"/>
      <c r="S2" s="1728"/>
    </row>
    <row r="3" spans="1:21" s="271" customFormat="1" ht="21.75">
      <c r="A3" s="270" t="s">
        <v>0</v>
      </c>
      <c r="B3" s="270"/>
      <c r="C3" s="270"/>
      <c r="P3" s="712"/>
      <c r="T3" s="1378"/>
      <c r="U3" s="1378"/>
    </row>
    <row r="4" spans="1:21" s="271" customFormat="1" ht="21.75">
      <c r="A4" s="270" t="s">
        <v>1</v>
      </c>
      <c r="B4" s="270"/>
      <c r="C4" s="270"/>
      <c r="P4" s="712"/>
      <c r="T4" s="1378"/>
      <c r="U4" s="1378"/>
    </row>
    <row r="5" spans="1:21">
      <c r="S5" s="272" t="s">
        <v>86</v>
      </c>
    </row>
    <row r="6" spans="1:21" s="273" customFormat="1" ht="15.75">
      <c r="A6" s="1729" t="s">
        <v>87</v>
      </c>
      <c r="B6" s="1730"/>
      <c r="C6" s="1733" t="s">
        <v>88</v>
      </c>
      <c r="D6" s="1733" t="s">
        <v>15</v>
      </c>
      <c r="E6" s="1733"/>
      <c r="F6" s="1733" t="s">
        <v>28</v>
      </c>
      <c r="G6" s="1733"/>
      <c r="H6" s="1733" t="s">
        <v>344</v>
      </c>
      <c r="I6" s="1733"/>
      <c r="J6" s="1733"/>
      <c r="K6" s="1733"/>
      <c r="L6" s="1733"/>
      <c r="M6" s="1733"/>
      <c r="N6" s="1733"/>
      <c r="O6" s="1733"/>
      <c r="P6" s="1733"/>
      <c r="Q6" s="1734" t="s">
        <v>89</v>
      </c>
      <c r="R6" s="1734" t="s">
        <v>90</v>
      </c>
      <c r="S6" s="1733" t="s">
        <v>91</v>
      </c>
      <c r="T6" s="1379"/>
      <c r="U6" s="1379"/>
    </row>
    <row r="7" spans="1:21" s="273" customFormat="1" ht="15.75">
      <c r="A7" s="1731"/>
      <c r="B7" s="1732"/>
      <c r="C7" s="1733"/>
      <c r="D7" s="1733"/>
      <c r="E7" s="1733"/>
      <c r="F7" s="1733"/>
      <c r="G7" s="1733"/>
      <c r="H7" s="1734" t="s">
        <v>76</v>
      </c>
      <c r="I7" s="1734" t="s">
        <v>77</v>
      </c>
      <c r="J7" s="1734"/>
      <c r="K7" s="1734"/>
      <c r="L7" s="1733" t="s">
        <v>175</v>
      </c>
      <c r="M7" s="1733" t="s">
        <v>92</v>
      </c>
      <c r="N7" s="1733" t="s">
        <v>93</v>
      </c>
      <c r="O7" s="1733" t="s">
        <v>94</v>
      </c>
      <c r="P7" s="1727" t="s">
        <v>10</v>
      </c>
      <c r="Q7" s="1734"/>
      <c r="R7" s="1734"/>
      <c r="S7" s="1733"/>
      <c r="T7" s="1379"/>
      <c r="U7" s="1379"/>
    </row>
    <row r="8" spans="1:21" s="273" customFormat="1" ht="15.75">
      <c r="A8" s="1731"/>
      <c r="B8" s="1732"/>
      <c r="C8" s="1733"/>
      <c r="D8" s="274" t="s">
        <v>4</v>
      </c>
      <c r="E8" s="274" t="s">
        <v>5</v>
      </c>
      <c r="F8" s="274" t="s">
        <v>4</v>
      </c>
      <c r="G8" s="274" t="s">
        <v>6</v>
      </c>
      <c r="H8" s="1734"/>
      <c r="I8" s="1734"/>
      <c r="J8" s="1734"/>
      <c r="K8" s="1734"/>
      <c r="L8" s="1733" t="s">
        <v>95</v>
      </c>
      <c r="M8" s="1733"/>
      <c r="N8" s="1733"/>
      <c r="O8" s="1733"/>
      <c r="P8" s="1727"/>
      <c r="Q8" s="1734"/>
      <c r="R8" s="1734"/>
      <c r="S8" s="1733"/>
      <c r="T8" s="1379"/>
      <c r="U8" s="1379"/>
    </row>
    <row r="9" spans="1:21" s="273" customFormat="1" ht="15.75">
      <c r="A9" s="1389" t="s">
        <v>96</v>
      </c>
      <c r="B9" s="1389" t="s">
        <v>97</v>
      </c>
      <c r="C9" s="277"/>
      <c r="D9" s="274"/>
      <c r="E9" s="274"/>
      <c r="F9" s="274"/>
      <c r="G9" s="274"/>
      <c r="H9" s="277"/>
      <c r="I9" s="277" t="s">
        <v>78</v>
      </c>
      <c r="J9" s="277" t="s">
        <v>79</v>
      </c>
      <c r="K9" s="277" t="s">
        <v>80</v>
      </c>
      <c r="L9" s="274"/>
      <c r="M9" s="274"/>
      <c r="N9" s="274"/>
      <c r="O9" s="274"/>
      <c r="P9" s="714"/>
      <c r="Q9" s="277"/>
      <c r="R9" s="277"/>
      <c r="S9" s="1733"/>
      <c r="T9" s="1379"/>
      <c r="U9" s="1379"/>
    </row>
    <row r="10" spans="1:21" s="273" customFormat="1" ht="16.5" thickBot="1">
      <c r="A10" s="278"/>
      <c r="B10" s="279"/>
      <c r="C10" s="721" t="s">
        <v>11</v>
      </c>
      <c r="D10" s="722"/>
      <c r="E10" s="722"/>
      <c r="F10" s="722"/>
      <c r="G10" s="722"/>
      <c r="H10" s="723"/>
      <c r="I10" s="723"/>
      <c r="J10" s="723"/>
      <c r="K10" s="723"/>
      <c r="L10" s="722"/>
      <c r="M10" s="722"/>
      <c r="N10" s="722"/>
      <c r="O10" s="722"/>
      <c r="P10" s="724">
        <f>P15</f>
        <v>11349900</v>
      </c>
      <c r="Q10" s="723"/>
      <c r="R10" s="723"/>
      <c r="S10" s="1733"/>
      <c r="T10" s="1379"/>
      <c r="U10" s="1379"/>
    </row>
    <row r="11" spans="1:21" s="105" customFormat="1" ht="23.25" customHeight="1" thickTop="1">
      <c r="A11" s="833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715"/>
      <c r="Q11" s="479"/>
      <c r="R11" s="479"/>
      <c r="S11" s="104"/>
      <c r="T11" s="1380"/>
      <c r="U11" s="1381"/>
    </row>
    <row r="12" spans="1:21" s="39" customFormat="1" ht="21.75" customHeight="1">
      <c r="A12" s="198"/>
      <c r="B12" s="198"/>
      <c r="C12" s="699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716"/>
      <c r="Q12" s="215"/>
      <c r="R12" s="215"/>
      <c r="S12" s="54"/>
      <c r="T12" s="1382"/>
      <c r="U12" s="1383"/>
    </row>
    <row r="13" spans="1:21" s="569" customFormat="1" ht="25.5" customHeight="1">
      <c r="A13" s="568"/>
      <c r="B13" s="568"/>
      <c r="C13" s="570" t="s">
        <v>842</v>
      </c>
      <c r="D13" s="571"/>
      <c r="E13" s="571"/>
      <c r="F13" s="571"/>
      <c r="G13" s="571"/>
      <c r="H13" s="571"/>
      <c r="I13" s="571"/>
      <c r="J13" s="571"/>
      <c r="K13" s="571"/>
      <c r="L13" s="572"/>
      <c r="M13" s="572"/>
      <c r="N13" s="572"/>
      <c r="O13" s="572"/>
      <c r="P13" s="719"/>
      <c r="Q13" s="571"/>
      <c r="R13" s="574"/>
      <c r="S13" s="571"/>
      <c r="T13" s="1384"/>
      <c r="U13" s="1385"/>
    </row>
    <row r="14" spans="1:21" s="569" customFormat="1" ht="24.75" customHeight="1">
      <c r="A14" s="568"/>
      <c r="B14" s="568"/>
      <c r="C14" s="576" t="s">
        <v>843</v>
      </c>
      <c r="D14" s="571"/>
      <c r="E14" s="571"/>
      <c r="F14" s="571"/>
      <c r="G14" s="571"/>
      <c r="H14" s="571"/>
      <c r="I14" s="571"/>
      <c r="J14" s="571"/>
      <c r="K14" s="571"/>
      <c r="L14" s="572"/>
      <c r="M14" s="572"/>
      <c r="N14" s="572"/>
      <c r="O14" s="572"/>
      <c r="P14" s="720"/>
      <c r="Q14" s="577"/>
      <c r="R14" s="571"/>
      <c r="S14" s="571"/>
      <c r="T14" s="1384"/>
      <c r="U14" s="1385"/>
    </row>
    <row r="15" spans="1:21" ht="51" customHeight="1">
      <c r="A15" s="280"/>
      <c r="B15" s="280"/>
      <c r="C15" s="1717" t="s">
        <v>849</v>
      </c>
      <c r="D15" s="1718"/>
      <c r="E15" s="1718"/>
      <c r="F15" s="1718"/>
      <c r="G15" s="1719"/>
      <c r="H15" s="417"/>
      <c r="I15" s="417"/>
      <c r="J15" s="417"/>
      <c r="K15" s="417"/>
      <c r="L15" s="417"/>
      <c r="M15" s="417"/>
      <c r="N15" s="417"/>
      <c r="O15" s="417"/>
      <c r="P15" s="717">
        <f>P17+P25+P30+P37+P43+P49+P55+P63</f>
        <v>11349900</v>
      </c>
      <c r="Q15" s="281"/>
      <c r="R15" s="281"/>
      <c r="S15" s="1374" t="s">
        <v>178</v>
      </c>
    </row>
    <row r="16" spans="1:21" s="726" customFormat="1" ht="25.5" customHeight="1">
      <c r="A16" s="725"/>
      <c r="B16" s="725"/>
      <c r="C16" s="727" t="s">
        <v>12</v>
      </c>
      <c r="D16" s="727"/>
      <c r="E16" s="727"/>
      <c r="F16" s="727"/>
      <c r="G16" s="728"/>
      <c r="H16" s="728"/>
      <c r="I16" s="728"/>
      <c r="J16" s="728"/>
      <c r="K16" s="728"/>
      <c r="L16" s="729"/>
      <c r="M16" s="729"/>
      <c r="N16" s="729"/>
      <c r="O16" s="729"/>
      <c r="P16" s="773">
        <f>P17+P25+P29</f>
        <v>11349900</v>
      </c>
      <c r="Q16" s="730"/>
      <c r="R16" s="730"/>
      <c r="S16" s="1714" t="s">
        <v>468</v>
      </c>
      <c r="T16" s="1386"/>
      <c r="U16" s="1386"/>
    </row>
    <row r="17" spans="1:21" s="726" customFormat="1" ht="25.5" customHeight="1">
      <c r="A17" s="725"/>
      <c r="B17" s="725"/>
      <c r="C17" s="727" t="s">
        <v>101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31"/>
      <c r="P17" s="732">
        <f>SUM(P18:P24)</f>
        <v>3640000</v>
      </c>
      <c r="Q17" s="733"/>
      <c r="R17" s="733"/>
      <c r="S17" s="1715"/>
      <c r="T17" s="1387"/>
      <c r="U17" s="1386"/>
    </row>
    <row r="18" spans="1:21" s="726" customFormat="1" ht="25.5" customHeight="1">
      <c r="A18" s="725"/>
      <c r="B18" s="725"/>
      <c r="C18" s="730" t="s">
        <v>467</v>
      </c>
      <c r="D18" s="729"/>
      <c r="E18" s="729"/>
      <c r="F18" s="729"/>
      <c r="G18" s="729"/>
      <c r="H18" s="736" t="s">
        <v>81</v>
      </c>
      <c r="I18" s="737"/>
      <c r="J18" s="738" t="s">
        <v>104</v>
      </c>
      <c r="K18" s="729"/>
      <c r="L18" s="730">
        <v>1</v>
      </c>
      <c r="M18" s="730">
        <v>10</v>
      </c>
      <c r="N18" s="730">
        <v>8</v>
      </c>
      <c r="O18" s="739">
        <v>80000</v>
      </c>
      <c r="P18" s="740">
        <f t="shared" ref="P18:P24" si="0">O18*N18*L18</f>
        <v>640000</v>
      </c>
      <c r="Q18" s="741"/>
      <c r="R18" s="741"/>
      <c r="S18" s="1715"/>
      <c r="T18" s="1388"/>
      <c r="U18" s="1386"/>
    </row>
    <row r="19" spans="1:21" s="726" customFormat="1" ht="25.5" customHeight="1">
      <c r="A19" s="725"/>
      <c r="B19" s="725"/>
      <c r="C19" s="730" t="s">
        <v>469</v>
      </c>
      <c r="D19" s="729"/>
      <c r="E19" s="729"/>
      <c r="F19" s="729"/>
      <c r="G19" s="729"/>
      <c r="H19" s="736" t="s">
        <v>81</v>
      </c>
      <c r="I19" s="737"/>
      <c r="J19" s="738" t="s">
        <v>104</v>
      </c>
      <c r="K19" s="729"/>
      <c r="L19" s="730">
        <v>2</v>
      </c>
      <c r="M19" s="730">
        <v>10</v>
      </c>
      <c r="N19" s="730">
        <v>6</v>
      </c>
      <c r="O19" s="739">
        <v>50000</v>
      </c>
      <c r="P19" s="740">
        <f t="shared" si="0"/>
        <v>600000</v>
      </c>
      <c r="Q19" s="741"/>
      <c r="R19" s="741"/>
      <c r="S19" s="1715"/>
      <c r="T19" s="1386"/>
      <c r="U19" s="1386"/>
    </row>
    <row r="20" spans="1:21" s="726" customFormat="1" ht="25.5" customHeight="1">
      <c r="A20" s="725"/>
      <c r="B20" s="725"/>
      <c r="C20" s="730" t="s">
        <v>470</v>
      </c>
      <c r="D20" s="729"/>
      <c r="E20" s="729"/>
      <c r="F20" s="729"/>
      <c r="G20" s="729"/>
      <c r="H20" s="736" t="s">
        <v>82</v>
      </c>
      <c r="I20" s="737"/>
      <c r="J20" s="738" t="s">
        <v>104</v>
      </c>
      <c r="K20" s="729"/>
      <c r="L20" s="730">
        <v>1</v>
      </c>
      <c r="M20" s="730">
        <v>10</v>
      </c>
      <c r="N20" s="730">
        <v>6</v>
      </c>
      <c r="O20" s="739">
        <v>50000</v>
      </c>
      <c r="P20" s="740">
        <f t="shared" si="0"/>
        <v>300000</v>
      </c>
      <c r="Q20" s="741"/>
      <c r="R20" s="741"/>
      <c r="S20" s="1715"/>
      <c r="T20" s="1386"/>
      <c r="U20" s="1386"/>
    </row>
    <row r="21" spans="1:21" s="726" customFormat="1" ht="25.5" customHeight="1">
      <c r="A21" s="725"/>
      <c r="B21" s="725"/>
      <c r="C21" s="730" t="s">
        <v>471</v>
      </c>
      <c r="D21" s="729"/>
      <c r="E21" s="729"/>
      <c r="F21" s="729"/>
      <c r="G21" s="729"/>
      <c r="H21" s="736" t="s">
        <v>472</v>
      </c>
      <c r="I21" s="737"/>
      <c r="J21" s="738" t="s">
        <v>104</v>
      </c>
      <c r="K21" s="729"/>
      <c r="L21" s="730">
        <v>1</v>
      </c>
      <c r="M21" s="730">
        <v>10</v>
      </c>
      <c r="N21" s="730">
        <v>6</v>
      </c>
      <c r="O21" s="739">
        <v>50000</v>
      </c>
      <c r="P21" s="740">
        <f t="shared" si="0"/>
        <v>300000</v>
      </c>
      <c r="Q21" s="741"/>
      <c r="R21" s="741"/>
      <c r="S21" s="1712" t="s">
        <v>473</v>
      </c>
      <c r="T21" s="1386"/>
      <c r="U21" s="1386"/>
    </row>
    <row r="22" spans="1:21" s="726" customFormat="1" ht="25.5" customHeight="1">
      <c r="A22" s="725"/>
      <c r="B22" s="725"/>
      <c r="C22" s="730" t="s">
        <v>474</v>
      </c>
      <c r="D22" s="729"/>
      <c r="E22" s="729"/>
      <c r="F22" s="729"/>
      <c r="G22" s="729"/>
      <c r="H22" s="736" t="s">
        <v>81</v>
      </c>
      <c r="I22" s="737"/>
      <c r="J22" s="738" t="s">
        <v>104</v>
      </c>
      <c r="K22" s="729"/>
      <c r="L22" s="730">
        <v>1</v>
      </c>
      <c r="M22" s="730">
        <v>10</v>
      </c>
      <c r="N22" s="730">
        <v>6</v>
      </c>
      <c r="O22" s="739">
        <v>50000</v>
      </c>
      <c r="P22" s="740">
        <f t="shared" si="0"/>
        <v>300000</v>
      </c>
      <c r="Q22" s="741"/>
      <c r="R22" s="741"/>
      <c r="S22" s="1712"/>
      <c r="T22" s="1386"/>
      <c r="U22" s="1386"/>
    </row>
    <row r="23" spans="1:21" s="726" customFormat="1" ht="25.5" customHeight="1">
      <c r="A23" s="725"/>
      <c r="B23" s="725"/>
      <c r="C23" s="730" t="s">
        <v>475</v>
      </c>
      <c r="D23" s="729"/>
      <c r="E23" s="729"/>
      <c r="F23" s="729"/>
      <c r="G23" s="729"/>
      <c r="H23" s="736" t="s">
        <v>81</v>
      </c>
      <c r="I23" s="737"/>
      <c r="J23" s="738" t="s">
        <v>104</v>
      </c>
      <c r="K23" s="729"/>
      <c r="L23" s="730">
        <v>1</v>
      </c>
      <c r="M23" s="730">
        <v>10</v>
      </c>
      <c r="N23" s="730">
        <v>6</v>
      </c>
      <c r="O23" s="739">
        <v>50000</v>
      </c>
      <c r="P23" s="740">
        <f t="shared" si="0"/>
        <v>300000</v>
      </c>
      <c r="Q23" s="741"/>
      <c r="R23" s="741"/>
      <c r="S23" s="1712"/>
      <c r="T23" s="1386"/>
      <c r="U23" s="1386"/>
    </row>
    <row r="24" spans="1:21" s="726" customFormat="1" ht="25.5" customHeight="1">
      <c r="A24" s="725"/>
      <c r="B24" s="725"/>
      <c r="C24" s="730" t="s">
        <v>476</v>
      </c>
      <c r="D24" s="729"/>
      <c r="E24" s="729"/>
      <c r="F24" s="729"/>
      <c r="G24" s="729"/>
      <c r="H24" s="736" t="s">
        <v>81</v>
      </c>
      <c r="I24" s="738" t="s">
        <v>104</v>
      </c>
      <c r="J24" s="729"/>
      <c r="K24" s="729"/>
      <c r="L24" s="730">
        <v>5</v>
      </c>
      <c r="M24" s="730">
        <v>3</v>
      </c>
      <c r="N24" s="730">
        <v>8</v>
      </c>
      <c r="O24" s="739">
        <v>30000</v>
      </c>
      <c r="P24" s="740">
        <f t="shared" si="0"/>
        <v>1200000</v>
      </c>
      <c r="Q24" s="741"/>
      <c r="R24" s="741"/>
      <c r="S24" s="1712"/>
      <c r="T24" s="1386"/>
      <c r="U24" s="1386"/>
    </row>
    <row r="25" spans="1:21" s="726" customFormat="1" ht="25.5" customHeight="1">
      <c r="A25" s="725"/>
      <c r="B25" s="725"/>
      <c r="C25" s="727" t="s">
        <v>112</v>
      </c>
      <c r="D25" s="728"/>
      <c r="E25" s="728"/>
      <c r="F25" s="728"/>
      <c r="G25" s="728"/>
      <c r="H25" s="728"/>
      <c r="I25" s="728"/>
      <c r="J25" s="728"/>
      <c r="K25" s="728"/>
      <c r="L25" s="743"/>
      <c r="M25" s="743"/>
      <c r="N25" s="743"/>
      <c r="O25" s="744"/>
      <c r="P25" s="732">
        <f>SUM(P26:P28)</f>
        <v>990000</v>
      </c>
      <c r="Q25" s="745"/>
      <c r="R25" s="745"/>
      <c r="S25" s="1712"/>
      <c r="T25" s="1386"/>
      <c r="U25" s="1386"/>
    </row>
    <row r="26" spans="1:21" s="726" customFormat="1" ht="25.5" customHeight="1">
      <c r="A26" s="725"/>
      <c r="B26" s="725"/>
      <c r="C26" s="746" t="s">
        <v>477</v>
      </c>
      <c r="D26" s="729"/>
      <c r="E26" s="729"/>
      <c r="F26" s="729"/>
      <c r="G26" s="729"/>
      <c r="H26" s="736" t="s">
        <v>114</v>
      </c>
      <c r="I26" s="738" t="s">
        <v>104</v>
      </c>
      <c r="J26" s="729"/>
      <c r="K26" s="729"/>
      <c r="L26" s="730">
        <v>4</v>
      </c>
      <c r="M26" s="747">
        <v>2</v>
      </c>
      <c r="N26" s="730">
        <v>9</v>
      </c>
      <c r="O26" s="739">
        <v>15000</v>
      </c>
      <c r="P26" s="748">
        <f>O26*N26*L26</f>
        <v>540000</v>
      </c>
      <c r="Q26" s="745"/>
      <c r="R26" s="745"/>
      <c r="S26" s="1712"/>
      <c r="T26" s="1386"/>
      <c r="U26" s="1386"/>
    </row>
    <row r="27" spans="1:21" s="726" customFormat="1" ht="25.5" customHeight="1">
      <c r="A27" s="725"/>
      <c r="B27" s="725"/>
      <c r="C27" s="746" t="s">
        <v>478</v>
      </c>
      <c r="D27" s="729"/>
      <c r="E27" s="729"/>
      <c r="F27" s="729"/>
      <c r="G27" s="729"/>
      <c r="H27" s="736" t="s">
        <v>114</v>
      </c>
      <c r="I27" s="738" t="s">
        <v>104</v>
      </c>
      <c r="J27" s="729"/>
      <c r="K27" s="729"/>
      <c r="L27" s="730">
        <v>2</v>
      </c>
      <c r="M27" s="747">
        <v>3</v>
      </c>
      <c r="N27" s="730">
        <v>9</v>
      </c>
      <c r="O27" s="739">
        <v>15000</v>
      </c>
      <c r="P27" s="748">
        <f>O27*N27*L27</f>
        <v>270000</v>
      </c>
      <c r="Q27" s="745"/>
      <c r="R27" s="745"/>
      <c r="S27" s="1713"/>
      <c r="T27" s="1386"/>
      <c r="U27" s="1386"/>
    </row>
    <row r="28" spans="1:21" s="726" customFormat="1" ht="25.5" customHeight="1">
      <c r="A28" s="832"/>
      <c r="B28" s="832"/>
      <c r="C28" s="746" t="s">
        <v>479</v>
      </c>
      <c r="D28" s="729"/>
      <c r="E28" s="729"/>
      <c r="F28" s="729"/>
      <c r="G28" s="729"/>
      <c r="H28" s="736" t="s">
        <v>480</v>
      </c>
      <c r="I28" s="738" t="s">
        <v>104</v>
      </c>
      <c r="J28" s="729"/>
      <c r="K28" s="729"/>
      <c r="L28" s="730">
        <v>1</v>
      </c>
      <c r="M28" s="747">
        <v>3</v>
      </c>
      <c r="N28" s="730">
        <v>9</v>
      </c>
      <c r="O28" s="739">
        <v>20000</v>
      </c>
      <c r="P28" s="748">
        <f>O28*N28*L28</f>
        <v>180000</v>
      </c>
      <c r="Q28" s="741"/>
      <c r="R28" s="741"/>
      <c r="S28" s="1337"/>
      <c r="T28" s="1386"/>
      <c r="U28" s="1386"/>
    </row>
    <row r="29" spans="1:21" s="726" customFormat="1" ht="25.5" customHeight="1">
      <c r="A29" s="725"/>
      <c r="B29" s="725"/>
      <c r="C29" s="1720" t="s">
        <v>853</v>
      </c>
      <c r="D29" s="1721"/>
      <c r="E29" s="1721"/>
      <c r="F29" s="1721"/>
      <c r="G29" s="1721"/>
      <c r="H29" s="1721"/>
      <c r="I29" s="1721"/>
      <c r="J29" s="1721"/>
      <c r="K29" s="1721"/>
      <c r="L29" s="1721"/>
      <c r="M29" s="1722"/>
      <c r="N29" s="1722"/>
      <c r="O29" s="1722"/>
      <c r="P29" s="1372">
        <f>P30+P37+P43+P49+P55+P63</f>
        <v>6719900</v>
      </c>
      <c r="Q29" s="749"/>
      <c r="R29" s="749"/>
      <c r="S29" s="1711" t="s">
        <v>850</v>
      </c>
      <c r="T29" s="1386"/>
      <c r="U29" s="1386"/>
    </row>
    <row r="30" spans="1:21" s="726" customFormat="1" ht="45.75" customHeight="1">
      <c r="A30" s="725"/>
      <c r="B30" s="725"/>
      <c r="C30" s="1709" t="s">
        <v>482</v>
      </c>
      <c r="D30" s="1710"/>
      <c r="E30" s="1710"/>
      <c r="F30" s="1710"/>
      <c r="G30" s="1710"/>
      <c r="H30" s="1710"/>
      <c r="I30" s="1710"/>
      <c r="J30" s="1710"/>
      <c r="K30" s="1710"/>
      <c r="L30" s="1710"/>
      <c r="M30" s="1723"/>
      <c r="N30" s="1723"/>
      <c r="O30" s="1723"/>
      <c r="P30" s="750">
        <f>SUM(P31:P36)</f>
        <v>826000</v>
      </c>
      <c r="Q30" s="751"/>
      <c r="R30" s="751"/>
      <c r="S30" s="1712"/>
      <c r="T30" s="1386"/>
      <c r="U30" s="1386"/>
    </row>
    <row r="31" spans="1:21" s="726" customFormat="1" ht="25.5" customHeight="1">
      <c r="A31" s="725"/>
      <c r="B31" s="725"/>
      <c r="C31" s="752" t="s">
        <v>483</v>
      </c>
      <c r="D31" s="729"/>
      <c r="E31" s="729"/>
      <c r="F31" s="729"/>
      <c r="G31" s="729"/>
      <c r="H31" s="736"/>
      <c r="I31" s="738"/>
      <c r="J31" s="729"/>
      <c r="K31" s="729"/>
      <c r="L31" s="730">
        <v>400</v>
      </c>
      <c r="M31" s="753" t="s">
        <v>484</v>
      </c>
      <c r="N31" s="754" t="s">
        <v>485</v>
      </c>
      <c r="O31" s="739">
        <v>240</v>
      </c>
      <c r="P31" s="748">
        <f>O31*L31</f>
        <v>96000</v>
      </c>
      <c r="Q31" s="741"/>
      <c r="R31" s="741"/>
      <c r="S31" s="1712"/>
      <c r="T31" s="1386"/>
      <c r="U31" s="1386"/>
    </row>
    <row r="32" spans="1:21" s="726" customFormat="1" ht="25.5" customHeight="1">
      <c r="A32" s="725"/>
      <c r="B32" s="725"/>
      <c r="C32" s="752" t="s">
        <v>486</v>
      </c>
      <c r="D32" s="729"/>
      <c r="E32" s="729"/>
      <c r="F32" s="729"/>
      <c r="G32" s="729"/>
      <c r="H32" s="736"/>
      <c r="I32" s="738"/>
      <c r="J32" s="729"/>
      <c r="K32" s="729"/>
      <c r="L32" s="730">
        <v>200</v>
      </c>
      <c r="M32" s="753" t="s">
        <v>487</v>
      </c>
      <c r="N32" s="730"/>
      <c r="O32" s="739">
        <v>2500</v>
      </c>
      <c r="P32" s="748">
        <f>O32*L32</f>
        <v>500000</v>
      </c>
      <c r="Q32" s="741"/>
      <c r="R32" s="741"/>
      <c r="S32" s="1712"/>
      <c r="T32" s="1386"/>
      <c r="U32" s="1386"/>
    </row>
    <row r="33" spans="1:21" s="726" customFormat="1" ht="25.5" customHeight="1">
      <c r="A33" s="725"/>
      <c r="B33" s="725"/>
      <c r="C33" s="752" t="s">
        <v>488</v>
      </c>
      <c r="D33" s="729"/>
      <c r="E33" s="729"/>
      <c r="F33" s="729"/>
      <c r="G33" s="729"/>
      <c r="H33" s="736"/>
      <c r="I33" s="738"/>
      <c r="J33" s="729"/>
      <c r="K33" s="729"/>
      <c r="L33" s="730">
        <v>200</v>
      </c>
      <c r="M33" s="753" t="s">
        <v>489</v>
      </c>
      <c r="N33" s="730"/>
      <c r="O33" s="739">
        <v>250</v>
      </c>
      <c r="P33" s="748">
        <f>O33*L33</f>
        <v>50000</v>
      </c>
      <c r="Q33" s="741"/>
      <c r="R33" s="741"/>
      <c r="S33" s="1712"/>
      <c r="T33" s="1386"/>
      <c r="U33" s="1386"/>
    </row>
    <row r="34" spans="1:21" s="726" customFormat="1" ht="25.5" customHeight="1">
      <c r="A34" s="725"/>
      <c r="B34" s="725"/>
      <c r="C34" s="755" t="s">
        <v>490</v>
      </c>
      <c r="D34" s="756"/>
      <c r="E34" s="756"/>
      <c r="F34" s="756"/>
      <c r="G34" s="756"/>
      <c r="H34" s="757"/>
      <c r="I34" s="758"/>
      <c r="J34" s="756"/>
      <c r="K34" s="756"/>
      <c r="L34" s="756"/>
      <c r="M34" s="759"/>
      <c r="N34" s="756"/>
      <c r="O34" s="760"/>
      <c r="P34" s="740"/>
      <c r="Q34" s="741"/>
      <c r="R34" s="741"/>
      <c r="S34" s="1712"/>
      <c r="T34" s="1386"/>
      <c r="U34" s="1386"/>
    </row>
    <row r="35" spans="1:21" s="726" customFormat="1" ht="25.5" customHeight="1">
      <c r="A35" s="725"/>
      <c r="B35" s="725"/>
      <c r="C35" s="752" t="s">
        <v>491</v>
      </c>
      <c r="D35" s="729"/>
      <c r="E35" s="729"/>
      <c r="F35" s="729"/>
      <c r="G35" s="729"/>
      <c r="H35" s="736"/>
      <c r="I35" s="738"/>
      <c r="J35" s="729"/>
      <c r="K35" s="729"/>
      <c r="L35" s="730">
        <v>10</v>
      </c>
      <c r="M35" s="753" t="s">
        <v>492</v>
      </c>
      <c r="N35" s="730"/>
      <c r="O35" s="739">
        <v>15000</v>
      </c>
      <c r="P35" s="748">
        <f>O35*L35</f>
        <v>150000</v>
      </c>
      <c r="Q35" s="741"/>
      <c r="R35" s="741"/>
      <c r="S35" s="1712"/>
      <c r="T35" s="1386"/>
      <c r="U35" s="1386"/>
    </row>
    <row r="36" spans="1:21" s="726" customFormat="1" ht="25.5" customHeight="1">
      <c r="A36" s="725"/>
      <c r="B36" s="725"/>
      <c r="C36" s="752" t="s">
        <v>493</v>
      </c>
      <c r="D36" s="729"/>
      <c r="E36" s="729"/>
      <c r="F36" s="729"/>
      <c r="G36" s="729"/>
      <c r="H36" s="736"/>
      <c r="I36" s="738"/>
      <c r="J36" s="729"/>
      <c r="K36" s="729"/>
      <c r="L36" s="730">
        <v>1</v>
      </c>
      <c r="M36" s="753" t="s">
        <v>492</v>
      </c>
      <c r="N36" s="730"/>
      <c r="O36" s="739">
        <v>30000</v>
      </c>
      <c r="P36" s="748">
        <f>O36*L36</f>
        <v>30000</v>
      </c>
      <c r="Q36" s="741"/>
      <c r="R36" s="741"/>
      <c r="S36" s="1712"/>
      <c r="T36" s="1386"/>
      <c r="U36" s="1386"/>
    </row>
    <row r="37" spans="1:21" s="726" customFormat="1" ht="45.75" customHeight="1">
      <c r="A37" s="725"/>
      <c r="B37" s="725"/>
      <c r="C37" s="1724" t="s">
        <v>494</v>
      </c>
      <c r="D37" s="1725"/>
      <c r="E37" s="1725"/>
      <c r="F37" s="1725"/>
      <c r="G37" s="1725"/>
      <c r="H37" s="1725"/>
      <c r="I37" s="1725"/>
      <c r="J37" s="1725"/>
      <c r="K37" s="1725"/>
      <c r="L37" s="1725"/>
      <c r="M37" s="1725"/>
      <c r="N37" s="1725"/>
      <c r="O37" s="1726"/>
      <c r="P37" s="761">
        <f>SUM(P38:P42)</f>
        <v>4994000</v>
      </c>
      <c r="Q37" s="741"/>
      <c r="R37" s="741"/>
      <c r="S37" s="1713"/>
      <c r="T37" s="1386"/>
      <c r="U37" s="1386"/>
    </row>
    <row r="38" spans="1:21" s="726" customFormat="1" ht="25.5" customHeight="1">
      <c r="A38" s="725"/>
      <c r="B38" s="725"/>
      <c r="C38" s="752" t="s">
        <v>495</v>
      </c>
      <c r="D38" s="729"/>
      <c r="E38" s="729"/>
      <c r="F38" s="729"/>
      <c r="G38" s="729"/>
      <c r="H38" s="736"/>
      <c r="I38" s="738"/>
      <c r="J38" s="729"/>
      <c r="K38" s="729"/>
      <c r="L38" s="1504">
        <v>1600</v>
      </c>
      <c r="M38" s="753" t="s">
        <v>484</v>
      </c>
      <c r="N38" s="730"/>
      <c r="O38" s="739">
        <v>240</v>
      </c>
      <c r="P38" s="748">
        <f>O38*L38</f>
        <v>384000</v>
      </c>
      <c r="Q38" s="741"/>
      <c r="R38" s="741"/>
      <c r="S38" s="1376" t="s">
        <v>187</v>
      </c>
      <c r="T38" s="1386"/>
      <c r="U38" s="1386"/>
    </row>
    <row r="39" spans="1:21" s="726" customFormat="1" ht="25.5" customHeight="1">
      <c r="A39" s="725"/>
      <c r="B39" s="725"/>
      <c r="C39" s="752" t="s">
        <v>496</v>
      </c>
      <c r="D39" s="729"/>
      <c r="E39" s="729"/>
      <c r="F39" s="729"/>
      <c r="G39" s="729"/>
      <c r="H39" s="736"/>
      <c r="I39" s="738"/>
      <c r="J39" s="729"/>
      <c r="K39" s="729"/>
      <c r="L39" s="730">
        <v>800</v>
      </c>
      <c r="M39" s="753" t="s">
        <v>487</v>
      </c>
      <c r="N39" s="730"/>
      <c r="O39" s="739">
        <v>2500</v>
      </c>
      <c r="P39" s="748">
        <f>O39*L39</f>
        <v>2000000</v>
      </c>
      <c r="Q39" s="741"/>
      <c r="R39" s="741"/>
      <c r="S39" s="1711" t="s">
        <v>860</v>
      </c>
      <c r="T39" s="1386"/>
      <c r="U39" s="1386"/>
    </row>
    <row r="40" spans="1:21" s="726" customFormat="1" ht="25.5" customHeight="1">
      <c r="A40" s="725"/>
      <c r="B40" s="725"/>
      <c r="C40" s="752" t="s">
        <v>497</v>
      </c>
      <c r="D40" s="729"/>
      <c r="E40" s="729"/>
      <c r="F40" s="729"/>
      <c r="G40" s="729"/>
      <c r="H40" s="736"/>
      <c r="I40" s="738"/>
      <c r="J40" s="729"/>
      <c r="K40" s="729"/>
      <c r="L40" s="730">
        <v>800</v>
      </c>
      <c r="M40" s="753" t="s">
        <v>498</v>
      </c>
      <c r="N40" s="730"/>
      <c r="O40" s="739">
        <v>1200</v>
      </c>
      <c r="P40" s="748">
        <f>O40*L40</f>
        <v>960000</v>
      </c>
      <c r="Q40" s="741"/>
      <c r="R40" s="741"/>
      <c r="S40" s="1712"/>
      <c r="T40" s="1386"/>
      <c r="U40" s="1386"/>
    </row>
    <row r="41" spans="1:21" s="726" customFormat="1" ht="25.5" customHeight="1">
      <c r="A41" s="725"/>
      <c r="B41" s="725"/>
      <c r="C41" s="752" t="s">
        <v>499</v>
      </c>
      <c r="D41" s="729"/>
      <c r="E41" s="729"/>
      <c r="F41" s="729"/>
      <c r="G41" s="729"/>
      <c r="H41" s="736"/>
      <c r="I41" s="738"/>
      <c r="J41" s="729"/>
      <c r="K41" s="729"/>
      <c r="L41" s="730">
        <v>800</v>
      </c>
      <c r="M41" s="753" t="s">
        <v>484</v>
      </c>
      <c r="N41" s="730"/>
      <c r="O41" s="739">
        <v>2000</v>
      </c>
      <c r="P41" s="748">
        <f>O41*L41</f>
        <v>1600000</v>
      </c>
      <c r="Q41" s="741"/>
      <c r="R41" s="741"/>
      <c r="S41" s="1712"/>
      <c r="T41" s="1386"/>
      <c r="U41" s="1386"/>
    </row>
    <row r="42" spans="1:21" s="726" customFormat="1" ht="25.5" customHeight="1">
      <c r="A42" s="725"/>
      <c r="B42" s="725"/>
      <c r="C42" s="752" t="s">
        <v>488</v>
      </c>
      <c r="D42" s="729"/>
      <c r="E42" s="729"/>
      <c r="F42" s="729"/>
      <c r="G42" s="729"/>
      <c r="H42" s="736"/>
      <c r="I42" s="738"/>
      <c r="J42" s="729"/>
      <c r="K42" s="729"/>
      <c r="L42" s="730">
        <v>200</v>
      </c>
      <c r="M42" s="753" t="s">
        <v>489</v>
      </c>
      <c r="N42" s="730"/>
      <c r="O42" s="739">
        <v>250</v>
      </c>
      <c r="P42" s="748">
        <f>O42*L42</f>
        <v>50000</v>
      </c>
      <c r="Q42" s="741"/>
      <c r="R42" s="741"/>
      <c r="S42" s="1712"/>
      <c r="T42" s="1386"/>
      <c r="U42" s="1386"/>
    </row>
    <row r="43" spans="1:21" s="726" customFormat="1" ht="25.5" customHeight="1">
      <c r="A43" s="725"/>
      <c r="B43" s="725"/>
      <c r="C43" s="762" t="s">
        <v>500</v>
      </c>
      <c r="D43" s="756"/>
      <c r="E43" s="756"/>
      <c r="F43" s="756"/>
      <c r="G43" s="756"/>
      <c r="H43" s="757"/>
      <c r="I43" s="758"/>
      <c r="J43" s="756"/>
      <c r="K43" s="756"/>
      <c r="L43" s="756"/>
      <c r="M43" s="759"/>
      <c r="N43" s="756"/>
      <c r="O43" s="760"/>
      <c r="P43" s="761">
        <f>SUM(P44:P48)</f>
        <v>177200</v>
      </c>
      <c r="Q43" s="741"/>
      <c r="R43" s="741"/>
      <c r="S43" s="1712"/>
      <c r="T43" s="1386"/>
      <c r="U43" s="1386"/>
    </row>
    <row r="44" spans="1:21" s="726" customFormat="1" ht="25.5" customHeight="1">
      <c r="A44" s="725"/>
      <c r="B44" s="725"/>
      <c r="C44" s="752" t="s">
        <v>501</v>
      </c>
      <c r="D44" s="729"/>
      <c r="E44" s="729"/>
      <c r="F44" s="729"/>
      <c r="G44" s="729"/>
      <c r="H44" s="736"/>
      <c r="I44" s="738"/>
      <c r="J44" s="729"/>
      <c r="K44" s="729"/>
      <c r="L44" s="730">
        <v>80</v>
      </c>
      <c r="M44" s="753" t="s">
        <v>484</v>
      </c>
      <c r="N44" s="730"/>
      <c r="O44" s="739">
        <v>240</v>
      </c>
      <c r="P44" s="748">
        <f>O44*L44</f>
        <v>19200</v>
      </c>
      <c r="Q44" s="741"/>
      <c r="R44" s="741"/>
      <c r="S44" s="1712"/>
      <c r="T44" s="1386"/>
      <c r="U44" s="1386"/>
    </row>
    <row r="45" spans="1:21" s="726" customFormat="1" ht="25.5" customHeight="1">
      <c r="A45" s="725"/>
      <c r="B45" s="725"/>
      <c r="C45" s="752" t="s">
        <v>502</v>
      </c>
      <c r="D45" s="729"/>
      <c r="E45" s="729"/>
      <c r="F45" s="729"/>
      <c r="G45" s="729"/>
      <c r="H45" s="736"/>
      <c r="I45" s="738"/>
      <c r="J45" s="729"/>
      <c r="K45" s="729"/>
      <c r="L45" s="730">
        <v>40</v>
      </c>
      <c r="M45" s="753" t="s">
        <v>487</v>
      </c>
      <c r="N45" s="730"/>
      <c r="O45" s="739">
        <v>2500</v>
      </c>
      <c r="P45" s="748">
        <f>O45*L45</f>
        <v>100000</v>
      </c>
      <c r="Q45" s="741"/>
      <c r="R45" s="741"/>
      <c r="S45" s="1713"/>
      <c r="T45" s="1386"/>
      <c r="U45" s="1386"/>
    </row>
    <row r="46" spans="1:21" s="726" customFormat="1" ht="25.5" customHeight="1">
      <c r="A46" s="725"/>
      <c r="B46" s="725"/>
      <c r="C46" s="752" t="s">
        <v>503</v>
      </c>
      <c r="D46" s="729"/>
      <c r="E46" s="729"/>
      <c r="F46" s="729"/>
      <c r="G46" s="729"/>
      <c r="H46" s="736"/>
      <c r="I46" s="738"/>
      <c r="J46" s="729"/>
      <c r="K46" s="729"/>
      <c r="L46" s="730">
        <v>40</v>
      </c>
      <c r="M46" s="753" t="s">
        <v>25</v>
      </c>
      <c r="N46" s="730"/>
      <c r="O46" s="739">
        <v>1200</v>
      </c>
      <c r="P46" s="748">
        <f>O46*L46</f>
        <v>48000</v>
      </c>
      <c r="Q46" s="741"/>
      <c r="R46" s="741"/>
      <c r="S46" s="1373"/>
      <c r="T46" s="1386"/>
      <c r="U46" s="1386"/>
    </row>
    <row r="47" spans="1:21" s="726" customFormat="1" ht="25.5" customHeight="1">
      <c r="A47" s="725"/>
      <c r="B47" s="725"/>
      <c r="C47" s="752" t="s">
        <v>504</v>
      </c>
      <c r="D47" s="729"/>
      <c r="E47" s="729"/>
      <c r="F47" s="729"/>
      <c r="G47" s="729"/>
      <c r="H47" s="736"/>
      <c r="I47" s="738"/>
      <c r="J47" s="729"/>
      <c r="K47" s="729"/>
      <c r="L47" s="730">
        <v>20</v>
      </c>
      <c r="M47" s="753" t="s">
        <v>489</v>
      </c>
      <c r="N47" s="730"/>
      <c r="O47" s="739">
        <v>250</v>
      </c>
      <c r="P47" s="748">
        <f>O47*L47</f>
        <v>5000</v>
      </c>
      <c r="Q47" s="741"/>
      <c r="R47" s="741"/>
      <c r="S47" s="1373"/>
      <c r="T47" s="1386"/>
      <c r="U47" s="1386"/>
    </row>
    <row r="48" spans="1:21" s="726" customFormat="1" ht="25.5" customHeight="1">
      <c r="A48" s="832"/>
      <c r="B48" s="832"/>
      <c r="C48" s="752" t="s">
        <v>505</v>
      </c>
      <c r="D48" s="729"/>
      <c r="E48" s="729"/>
      <c r="F48" s="729"/>
      <c r="G48" s="729"/>
      <c r="H48" s="736"/>
      <c r="I48" s="738"/>
      <c r="J48" s="729"/>
      <c r="K48" s="729"/>
      <c r="L48" s="730">
        <v>1</v>
      </c>
      <c r="M48" s="753" t="s">
        <v>481</v>
      </c>
      <c r="N48" s="730"/>
      <c r="O48" s="739">
        <v>5000</v>
      </c>
      <c r="P48" s="748">
        <f>O48*L48</f>
        <v>5000</v>
      </c>
      <c r="Q48" s="741"/>
      <c r="R48" s="741"/>
      <c r="S48" s="1375"/>
      <c r="T48" s="1386"/>
      <c r="U48" s="1386"/>
    </row>
    <row r="49" spans="1:21" s="726" customFormat="1" ht="41.25" customHeight="1">
      <c r="A49" s="725"/>
      <c r="B49" s="725"/>
      <c r="C49" s="1724" t="s">
        <v>851</v>
      </c>
      <c r="D49" s="1725"/>
      <c r="E49" s="1725"/>
      <c r="F49" s="1725"/>
      <c r="G49" s="1725"/>
      <c r="H49" s="1725"/>
      <c r="I49" s="1725"/>
      <c r="J49" s="1725"/>
      <c r="K49" s="1725"/>
      <c r="L49" s="1725"/>
      <c r="M49" s="1725"/>
      <c r="N49" s="1725"/>
      <c r="O49" s="1725"/>
      <c r="P49" s="761">
        <f>SUM(P50:P54)</f>
        <v>210800</v>
      </c>
      <c r="Q49" s="741"/>
      <c r="R49" s="741"/>
      <c r="S49" s="1714" t="s">
        <v>858</v>
      </c>
      <c r="T49" s="1386"/>
      <c r="U49" s="1386"/>
    </row>
    <row r="50" spans="1:21" s="726" customFormat="1" ht="25.5" customHeight="1">
      <c r="A50" s="725"/>
      <c r="B50" s="725"/>
      <c r="C50" s="763" t="s">
        <v>506</v>
      </c>
      <c r="D50" s="729"/>
      <c r="E50" s="729"/>
      <c r="F50" s="729"/>
      <c r="G50" s="729"/>
      <c r="H50" s="736"/>
      <c r="I50" s="738"/>
      <c r="J50" s="729"/>
      <c r="K50" s="729"/>
      <c r="L50" s="730">
        <v>120</v>
      </c>
      <c r="M50" s="753" t="s">
        <v>484</v>
      </c>
      <c r="N50" s="730"/>
      <c r="O50" s="739">
        <v>240</v>
      </c>
      <c r="P50" s="748">
        <f>O50*L50</f>
        <v>28800</v>
      </c>
      <c r="Q50" s="741"/>
      <c r="R50" s="741"/>
      <c r="S50" s="1715"/>
      <c r="T50" s="1386"/>
      <c r="U50" s="1386"/>
    </row>
    <row r="51" spans="1:21" s="726" customFormat="1" ht="25.5" customHeight="1">
      <c r="A51" s="725"/>
      <c r="B51" s="725"/>
      <c r="C51" s="763" t="s">
        <v>502</v>
      </c>
      <c r="D51" s="729"/>
      <c r="E51" s="729"/>
      <c r="F51" s="729"/>
      <c r="G51" s="729"/>
      <c r="H51" s="736"/>
      <c r="I51" s="738"/>
      <c r="J51" s="729"/>
      <c r="K51" s="729"/>
      <c r="L51" s="730">
        <v>40</v>
      </c>
      <c r="M51" s="753" t="s">
        <v>487</v>
      </c>
      <c r="N51" s="730"/>
      <c r="O51" s="739">
        <v>2500</v>
      </c>
      <c r="P51" s="748">
        <f>O51*L51</f>
        <v>100000</v>
      </c>
      <c r="Q51" s="741"/>
      <c r="R51" s="741"/>
      <c r="S51" s="1715"/>
      <c r="T51" s="1386"/>
      <c r="U51" s="1386"/>
    </row>
    <row r="52" spans="1:21" s="726" customFormat="1" ht="25.5" customHeight="1">
      <c r="A52" s="725"/>
      <c r="B52" s="725"/>
      <c r="C52" s="763" t="s">
        <v>507</v>
      </c>
      <c r="D52" s="729"/>
      <c r="E52" s="729"/>
      <c r="F52" s="729"/>
      <c r="G52" s="729"/>
      <c r="H52" s="736"/>
      <c r="I52" s="738"/>
      <c r="J52" s="729"/>
      <c r="K52" s="729"/>
      <c r="L52" s="730">
        <v>60</v>
      </c>
      <c r="M52" s="753" t="s">
        <v>25</v>
      </c>
      <c r="N52" s="730"/>
      <c r="O52" s="739">
        <v>1200</v>
      </c>
      <c r="P52" s="748">
        <f>O52*L52</f>
        <v>72000</v>
      </c>
      <c r="Q52" s="741"/>
      <c r="R52" s="741"/>
      <c r="S52" s="1715"/>
      <c r="T52" s="1386"/>
      <c r="U52" s="1386"/>
    </row>
    <row r="53" spans="1:21" s="726" customFormat="1" ht="25.5" customHeight="1">
      <c r="A53" s="725"/>
      <c r="B53" s="725"/>
      <c r="C53" s="763" t="s">
        <v>504</v>
      </c>
      <c r="D53" s="729"/>
      <c r="E53" s="729"/>
      <c r="F53" s="729"/>
      <c r="G53" s="729"/>
      <c r="H53" s="736"/>
      <c r="I53" s="738"/>
      <c r="J53" s="729"/>
      <c r="K53" s="729"/>
      <c r="L53" s="730">
        <v>20</v>
      </c>
      <c r="M53" s="753" t="s">
        <v>489</v>
      </c>
      <c r="N53" s="730"/>
      <c r="O53" s="739">
        <v>250</v>
      </c>
      <c r="P53" s="748">
        <f>O53*L53</f>
        <v>5000</v>
      </c>
      <c r="Q53" s="741"/>
      <c r="R53" s="741"/>
      <c r="S53" s="1715"/>
      <c r="T53" s="1386"/>
      <c r="U53" s="1386"/>
    </row>
    <row r="54" spans="1:21" s="726" customFormat="1" ht="25.5" customHeight="1">
      <c r="A54" s="725"/>
      <c r="B54" s="725"/>
      <c r="C54" s="763" t="s">
        <v>505</v>
      </c>
      <c r="D54" s="729"/>
      <c r="E54" s="729"/>
      <c r="F54" s="729"/>
      <c r="G54" s="729"/>
      <c r="H54" s="736"/>
      <c r="I54" s="738"/>
      <c r="J54" s="729"/>
      <c r="K54" s="729"/>
      <c r="L54" s="730">
        <v>1</v>
      </c>
      <c r="M54" s="753" t="s">
        <v>508</v>
      </c>
      <c r="N54" s="730"/>
      <c r="O54" s="739">
        <v>5000</v>
      </c>
      <c r="P54" s="748">
        <f>O54*L54</f>
        <v>5000</v>
      </c>
      <c r="Q54" s="741"/>
      <c r="R54" s="741"/>
      <c r="S54" s="1715"/>
      <c r="T54" s="1386"/>
      <c r="U54" s="1386"/>
    </row>
    <row r="55" spans="1:21" s="726" customFormat="1" ht="40.5" customHeight="1">
      <c r="A55" s="725"/>
      <c r="B55" s="725"/>
      <c r="C55" s="1709" t="s">
        <v>509</v>
      </c>
      <c r="D55" s="1710"/>
      <c r="E55" s="1710"/>
      <c r="F55" s="1710"/>
      <c r="G55" s="1710"/>
      <c r="H55" s="1710"/>
      <c r="I55" s="1710"/>
      <c r="J55" s="1710"/>
      <c r="K55" s="1710"/>
      <c r="L55" s="1710"/>
      <c r="M55" s="1710"/>
      <c r="N55" s="1710"/>
      <c r="O55" s="1710"/>
      <c r="P55" s="750">
        <f>SUM(P56:P62)</f>
        <v>496600</v>
      </c>
      <c r="Q55" s="751"/>
      <c r="R55" s="751"/>
      <c r="S55" s="1715"/>
      <c r="T55" s="1386"/>
      <c r="U55" s="1386"/>
    </row>
    <row r="56" spans="1:21" s="726" customFormat="1" ht="25.5" customHeight="1">
      <c r="A56" s="725"/>
      <c r="B56" s="725"/>
      <c r="C56" s="763" t="s">
        <v>510</v>
      </c>
      <c r="D56" s="729"/>
      <c r="E56" s="729"/>
      <c r="F56" s="729"/>
      <c r="G56" s="729"/>
      <c r="H56" s="736"/>
      <c r="I56" s="738"/>
      <c r="J56" s="729"/>
      <c r="K56" s="729"/>
      <c r="L56" s="730">
        <v>1</v>
      </c>
      <c r="M56" s="753" t="s">
        <v>33</v>
      </c>
      <c r="N56" s="730"/>
      <c r="O56" s="739">
        <v>200000</v>
      </c>
      <c r="P56" s="748">
        <f t="shared" ref="P56:P62" si="1">O56*L56</f>
        <v>200000</v>
      </c>
      <c r="Q56" s="741"/>
      <c r="R56" s="741"/>
      <c r="S56" s="1715"/>
      <c r="T56" s="1386"/>
      <c r="U56" s="1386"/>
    </row>
    <row r="57" spans="1:21" s="726" customFormat="1" ht="25.5" customHeight="1">
      <c r="A57" s="725"/>
      <c r="B57" s="725"/>
      <c r="C57" s="763" t="s">
        <v>511</v>
      </c>
      <c r="D57" s="729"/>
      <c r="E57" s="729"/>
      <c r="F57" s="729"/>
      <c r="G57" s="729"/>
      <c r="H57" s="736"/>
      <c r="I57" s="738"/>
      <c r="J57" s="729"/>
      <c r="K57" s="729"/>
      <c r="L57" s="730">
        <v>1</v>
      </c>
      <c r="M57" s="753" t="s">
        <v>389</v>
      </c>
      <c r="N57" s="730"/>
      <c r="O57" s="739">
        <v>20000</v>
      </c>
      <c r="P57" s="748">
        <f t="shared" si="1"/>
        <v>20000</v>
      </c>
      <c r="Q57" s="741"/>
      <c r="R57" s="741"/>
      <c r="S57" s="1716"/>
      <c r="T57" s="1386"/>
      <c r="U57" s="1386"/>
    </row>
    <row r="58" spans="1:21" s="726" customFormat="1" ht="25.5" customHeight="1">
      <c r="A58" s="725"/>
      <c r="B58" s="725"/>
      <c r="C58" s="763" t="s">
        <v>512</v>
      </c>
      <c r="D58" s="729"/>
      <c r="E58" s="729"/>
      <c r="F58" s="729"/>
      <c r="G58" s="729"/>
      <c r="H58" s="736"/>
      <c r="I58" s="738"/>
      <c r="J58" s="729"/>
      <c r="K58" s="729"/>
      <c r="L58" s="730">
        <v>300</v>
      </c>
      <c r="M58" s="753" t="s">
        <v>19</v>
      </c>
      <c r="N58" s="730"/>
      <c r="O58" s="739">
        <v>200</v>
      </c>
      <c r="P58" s="748">
        <f t="shared" si="1"/>
        <v>60000</v>
      </c>
      <c r="Q58" s="741"/>
      <c r="R58" s="741"/>
      <c r="S58" s="1714" t="s">
        <v>859</v>
      </c>
      <c r="T58" s="1386"/>
      <c r="U58" s="1386"/>
    </row>
    <row r="59" spans="1:21" s="726" customFormat="1" ht="25.5" customHeight="1">
      <c r="A59" s="725"/>
      <c r="B59" s="725"/>
      <c r="C59" s="763" t="s">
        <v>513</v>
      </c>
      <c r="D59" s="729"/>
      <c r="E59" s="729"/>
      <c r="F59" s="729"/>
      <c r="G59" s="729"/>
      <c r="H59" s="736"/>
      <c r="I59" s="738"/>
      <c r="J59" s="729"/>
      <c r="K59" s="729"/>
      <c r="L59" s="730">
        <v>600</v>
      </c>
      <c r="M59" s="753" t="s">
        <v>514</v>
      </c>
      <c r="N59" s="730"/>
      <c r="O59" s="739">
        <v>50</v>
      </c>
      <c r="P59" s="748">
        <f t="shared" si="1"/>
        <v>30000</v>
      </c>
      <c r="Q59" s="741"/>
      <c r="R59" s="741"/>
      <c r="S59" s="1715"/>
      <c r="T59" s="1386"/>
      <c r="U59" s="1386"/>
    </row>
    <row r="60" spans="1:21" s="726" customFormat="1" ht="25.5" customHeight="1">
      <c r="A60" s="725"/>
      <c r="B60" s="725"/>
      <c r="C60" s="763" t="s">
        <v>515</v>
      </c>
      <c r="D60" s="729"/>
      <c r="E60" s="729"/>
      <c r="F60" s="729"/>
      <c r="G60" s="729"/>
      <c r="H60" s="736"/>
      <c r="I60" s="738"/>
      <c r="J60" s="729"/>
      <c r="K60" s="729"/>
      <c r="L60" s="730">
        <v>300</v>
      </c>
      <c r="M60" s="753" t="s">
        <v>514</v>
      </c>
      <c r="N60" s="730"/>
      <c r="O60" s="739">
        <v>550</v>
      </c>
      <c r="P60" s="748">
        <f t="shared" si="1"/>
        <v>165000</v>
      </c>
      <c r="Q60" s="741"/>
      <c r="R60" s="741"/>
      <c r="S60" s="1715"/>
      <c r="T60" s="1386"/>
      <c r="U60" s="1386"/>
    </row>
    <row r="61" spans="1:21" s="726" customFormat="1" ht="25.5" customHeight="1">
      <c r="A61" s="725"/>
      <c r="B61" s="725"/>
      <c r="C61" s="763" t="s">
        <v>516</v>
      </c>
      <c r="D61" s="729"/>
      <c r="E61" s="729"/>
      <c r="F61" s="729"/>
      <c r="G61" s="729"/>
      <c r="H61" s="736"/>
      <c r="I61" s="738"/>
      <c r="J61" s="729"/>
      <c r="K61" s="729"/>
      <c r="L61" s="730">
        <v>12</v>
      </c>
      <c r="M61" s="753" t="s">
        <v>517</v>
      </c>
      <c r="N61" s="730"/>
      <c r="O61" s="739">
        <v>1600</v>
      </c>
      <c r="P61" s="748">
        <f t="shared" si="1"/>
        <v>19200</v>
      </c>
      <c r="Q61" s="741"/>
      <c r="R61" s="741"/>
      <c r="S61" s="1715"/>
      <c r="T61" s="1386"/>
      <c r="U61" s="1386"/>
    </row>
    <row r="62" spans="1:21" s="726" customFormat="1" ht="25.5" customHeight="1">
      <c r="A62" s="725"/>
      <c r="B62" s="725"/>
      <c r="C62" s="763" t="s">
        <v>518</v>
      </c>
      <c r="D62" s="729"/>
      <c r="E62" s="729"/>
      <c r="F62" s="729"/>
      <c r="G62" s="729"/>
      <c r="H62" s="736"/>
      <c r="I62" s="738"/>
      <c r="J62" s="729"/>
      <c r="K62" s="729"/>
      <c r="L62" s="730">
        <v>10</v>
      </c>
      <c r="M62" s="753" t="s">
        <v>17</v>
      </c>
      <c r="N62" s="730"/>
      <c r="O62" s="739">
        <v>240</v>
      </c>
      <c r="P62" s="748">
        <f t="shared" si="1"/>
        <v>2400</v>
      </c>
      <c r="Q62" s="741"/>
      <c r="R62" s="741"/>
      <c r="S62" s="1715"/>
      <c r="T62" s="1386"/>
      <c r="U62" s="1386"/>
    </row>
    <row r="63" spans="1:21" s="726" customFormat="1" ht="25.5" customHeight="1">
      <c r="A63" s="725"/>
      <c r="B63" s="725"/>
      <c r="C63" s="764" t="s">
        <v>161</v>
      </c>
      <c r="D63" s="756"/>
      <c r="E63" s="756"/>
      <c r="F63" s="756"/>
      <c r="G63" s="756"/>
      <c r="H63" s="757"/>
      <c r="I63" s="758"/>
      <c r="J63" s="756"/>
      <c r="K63" s="756"/>
      <c r="L63" s="756"/>
      <c r="M63" s="759"/>
      <c r="N63" s="756"/>
      <c r="O63" s="760"/>
      <c r="P63" s="761">
        <f>SUM(P64:P70)</f>
        <v>15300</v>
      </c>
      <c r="Q63" s="741"/>
      <c r="R63" s="741"/>
      <c r="S63" s="1715"/>
      <c r="T63" s="1386"/>
      <c r="U63" s="1386"/>
    </row>
    <row r="64" spans="1:21" s="726" customFormat="1" ht="25.5" customHeight="1">
      <c r="A64" s="725"/>
      <c r="B64" s="725"/>
      <c r="C64" s="763" t="s">
        <v>519</v>
      </c>
      <c r="D64" s="729"/>
      <c r="E64" s="729"/>
      <c r="F64" s="729"/>
      <c r="G64" s="729"/>
      <c r="H64" s="736"/>
      <c r="I64" s="738"/>
      <c r="J64" s="729"/>
      <c r="K64" s="729"/>
      <c r="L64" s="730">
        <v>12</v>
      </c>
      <c r="M64" s="753" t="s">
        <v>19</v>
      </c>
      <c r="N64" s="730"/>
      <c r="O64" s="739">
        <v>215</v>
      </c>
      <c r="P64" s="748">
        <f t="shared" ref="P64:P70" si="2">O64*L64</f>
        <v>2580</v>
      </c>
      <c r="Q64" s="741"/>
      <c r="R64" s="741"/>
      <c r="S64" s="1716"/>
      <c r="T64" s="1386"/>
      <c r="U64" s="1386"/>
    </row>
    <row r="65" spans="1:21" s="726" customFormat="1" ht="25.5" customHeight="1">
      <c r="A65" s="725"/>
      <c r="B65" s="725"/>
      <c r="C65" s="763" t="s">
        <v>520</v>
      </c>
      <c r="D65" s="729"/>
      <c r="E65" s="729"/>
      <c r="F65" s="729"/>
      <c r="G65" s="729"/>
      <c r="H65" s="736"/>
      <c r="I65" s="738"/>
      <c r="J65" s="729"/>
      <c r="K65" s="729"/>
      <c r="L65" s="730">
        <v>12</v>
      </c>
      <c r="M65" s="753" t="s">
        <v>19</v>
      </c>
      <c r="N65" s="730"/>
      <c r="O65" s="739">
        <v>215</v>
      </c>
      <c r="P65" s="748">
        <f t="shared" si="2"/>
        <v>2580</v>
      </c>
      <c r="Q65" s="741"/>
      <c r="R65" s="741"/>
      <c r="S65" s="730"/>
      <c r="T65" s="1386"/>
      <c r="U65" s="1386"/>
    </row>
    <row r="66" spans="1:21" s="726" customFormat="1" ht="25.5" customHeight="1">
      <c r="A66" s="725"/>
      <c r="B66" s="725"/>
      <c r="C66" s="763" t="s">
        <v>521</v>
      </c>
      <c r="D66" s="729"/>
      <c r="E66" s="729"/>
      <c r="F66" s="729"/>
      <c r="G66" s="729"/>
      <c r="H66" s="736"/>
      <c r="I66" s="738"/>
      <c r="J66" s="729"/>
      <c r="K66" s="729"/>
      <c r="L66" s="730">
        <v>12</v>
      </c>
      <c r="M66" s="753" t="s">
        <v>19</v>
      </c>
      <c r="N66" s="730"/>
      <c r="O66" s="739">
        <v>215</v>
      </c>
      <c r="P66" s="748">
        <f t="shared" si="2"/>
        <v>2580</v>
      </c>
      <c r="Q66" s="741"/>
      <c r="R66" s="741"/>
      <c r="S66" s="730"/>
      <c r="T66" s="1386"/>
      <c r="U66" s="1386"/>
    </row>
    <row r="67" spans="1:21" s="726" customFormat="1" ht="25.5" customHeight="1">
      <c r="A67" s="725"/>
      <c r="B67" s="725"/>
      <c r="C67" s="763" t="s">
        <v>522</v>
      </c>
      <c r="D67" s="729"/>
      <c r="E67" s="729"/>
      <c r="F67" s="729"/>
      <c r="G67" s="729"/>
      <c r="H67" s="736"/>
      <c r="I67" s="738"/>
      <c r="J67" s="729"/>
      <c r="K67" s="729"/>
      <c r="L67" s="730">
        <v>12</v>
      </c>
      <c r="M67" s="753" t="s">
        <v>19</v>
      </c>
      <c r="N67" s="730"/>
      <c r="O67" s="739">
        <v>215</v>
      </c>
      <c r="P67" s="748">
        <f t="shared" si="2"/>
        <v>2580</v>
      </c>
      <c r="Q67" s="741"/>
      <c r="R67" s="741"/>
      <c r="S67" s="730"/>
      <c r="T67" s="1386"/>
      <c r="U67" s="1386"/>
    </row>
    <row r="68" spans="1:21" s="726" customFormat="1" ht="25.5" customHeight="1">
      <c r="A68" s="725"/>
      <c r="B68" s="725"/>
      <c r="C68" s="763" t="s">
        <v>523</v>
      </c>
      <c r="D68" s="729"/>
      <c r="E68" s="729"/>
      <c r="F68" s="729"/>
      <c r="G68" s="729"/>
      <c r="H68" s="736"/>
      <c r="I68" s="738"/>
      <c r="J68" s="729"/>
      <c r="K68" s="729"/>
      <c r="L68" s="730">
        <v>12</v>
      </c>
      <c r="M68" s="753" t="s">
        <v>19</v>
      </c>
      <c r="N68" s="730"/>
      <c r="O68" s="739">
        <v>215</v>
      </c>
      <c r="P68" s="748">
        <f t="shared" si="2"/>
        <v>2580</v>
      </c>
      <c r="Q68" s="741"/>
      <c r="R68" s="741"/>
      <c r="S68" s="730"/>
      <c r="T68" s="1386"/>
      <c r="U68" s="1386"/>
    </row>
    <row r="69" spans="1:21" s="726" customFormat="1" ht="25.5" customHeight="1">
      <c r="A69" s="832"/>
      <c r="B69" s="832"/>
      <c r="C69" s="763" t="s">
        <v>524</v>
      </c>
      <c r="D69" s="729"/>
      <c r="E69" s="729"/>
      <c r="F69" s="729"/>
      <c r="G69" s="729"/>
      <c r="H69" s="736"/>
      <c r="I69" s="738"/>
      <c r="J69" s="729"/>
      <c r="K69" s="729"/>
      <c r="L69" s="730">
        <v>12</v>
      </c>
      <c r="M69" s="753" t="s">
        <v>19</v>
      </c>
      <c r="N69" s="730"/>
      <c r="O69" s="739">
        <v>100</v>
      </c>
      <c r="P69" s="748">
        <f t="shared" si="2"/>
        <v>1200</v>
      </c>
      <c r="Q69" s="741"/>
      <c r="R69" s="741"/>
      <c r="S69" s="730"/>
      <c r="T69" s="1386"/>
      <c r="U69" s="1386"/>
    </row>
    <row r="70" spans="1:21" s="726" customFormat="1" ht="25.5" customHeight="1">
      <c r="A70" s="832"/>
      <c r="B70" s="832"/>
      <c r="C70" s="763" t="s">
        <v>525</v>
      </c>
      <c r="D70" s="729"/>
      <c r="E70" s="729"/>
      <c r="F70" s="729"/>
      <c r="G70" s="729"/>
      <c r="H70" s="736"/>
      <c r="I70" s="738"/>
      <c r="J70" s="729"/>
      <c r="K70" s="729"/>
      <c r="L70" s="730">
        <v>12</v>
      </c>
      <c r="M70" s="753" t="s">
        <v>19</v>
      </c>
      <c r="N70" s="730"/>
      <c r="O70" s="739">
        <v>100</v>
      </c>
      <c r="P70" s="748">
        <f t="shared" si="2"/>
        <v>1200</v>
      </c>
      <c r="Q70" s="741"/>
      <c r="R70" s="741"/>
      <c r="S70" s="730"/>
      <c r="T70" s="1386"/>
      <c r="U70" s="1386"/>
    </row>
    <row r="71" spans="1:21" ht="25.5" customHeight="1">
      <c r="C71" s="283"/>
      <c r="D71" s="284"/>
      <c r="E71" s="284"/>
      <c r="F71" s="284"/>
      <c r="G71" s="283"/>
      <c r="H71" s="283"/>
      <c r="I71" s="283"/>
      <c r="J71" s="283"/>
      <c r="K71" s="283"/>
      <c r="L71" s="283"/>
      <c r="M71" s="283"/>
      <c r="N71" s="283"/>
      <c r="O71" s="283"/>
      <c r="P71" s="718"/>
      <c r="Q71" s="283"/>
      <c r="R71" s="283"/>
      <c r="S71" s="285"/>
    </row>
    <row r="72" spans="1:21" s="271" customFormat="1" ht="25.5" customHeight="1">
      <c r="C72" s="830" t="s">
        <v>171</v>
      </c>
      <c r="D72" s="831" t="s">
        <v>172</v>
      </c>
      <c r="E72" s="831"/>
      <c r="F72" s="831"/>
      <c r="G72" s="230"/>
      <c r="H72" s="230"/>
      <c r="I72" s="230"/>
      <c r="J72" s="230"/>
      <c r="K72" s="230"/>
      <c r="L72" s="230"/>
      <c r="M72" s="230"/>
      <c r="N72" s="230"/>
      <c r="O72" s="230"/>
      <c r="P72" s="772"/>
      <c r="Q72" s="230"/>
      <c r="R72" s="230"/>
      <c r="S72" s="829"/>
      <c r="T72" s="1378"/>
      <c r="U72" s="1378"/>
    </row>
    <row r="73" spans="1:21" s="271" customFormat="1" ht="25.5" customHeight="1">
      <c r="D73" s="271" t="s">
        <v>466</v>
      </c>
      <c r="P73" s="712"/>
      <c r="T73" s="1378"/>
      <c r="U73" s="1378"/>
    </row>
  </sheetData>
  <mergeCells count="29"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10"/>
    <mergeCell ref="H7:H8"/>
    <mergeCell ref="I7:K8"/>
    <mergeCell ref="L7:L8"/>
    <mergeCell ref="M7:M8"/>
    <mergeCell ref="N7:N8"/>
    <mergeCell ref="O7:O8"/>
    <mergeCell ref="P7:P8"/>
    <mergeCell ref="S16:S20"/>
    <mergeCell ref="S21:S27"/>
    <mergeCell ref="S29:S37"/>
    <mergeCell ref="S58:S64"/>
    <mergeCell ref="C55:O55"/>
    <mergeCell ref="S39:S45"/>
    <mergeCell ref="S49:S57"/>
    <mergeCell ref="C15:G15"/>
    <mergeCell ref="C29:O29"/>
    <mergeCell ref="C30:O30"/>
    <mergeCell ref="C37:O37"/>
    <mergeCell ref="C49:O49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&amp;C&amp;P/4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73"/>
  <sheetViews>
    <sheetView topLeftCell="A10" zoomScale="130" zoomScaleNormal="130" zoomScaleSheetLayoutView="80" workbookViewId="0">
      <selection activeCell="D19" sqref="D19"/>
    </sheetView>
  </sheetViews>
  <sheetFormatPr defaultRowHeight="18.75"/>
  <cols>
    <col min="1" max="1" width="4.375" style="269" customWidth="1"/>
    <col min="2" max="2" width="4.5" style="269" customWidth="1"/>
    <col min="3" max="3" width="38.875" style="269" customWidth="1"/>
    <col min="4" max="7" width="6.375" style="269" customWidth="1"/>
    <col min="8" max="8" width="8.25" style="269" customWidth="1"/>
    <col min="9" max="9" width="5.75" style="269" customWidth="1"/>
    <col min="10" max="10" width="6" style="269" customWidth="1"/>
    <col min="11" max="11" width="5.875" style="269" customWidth="1"/>
    <col min="12" max="15" width="7.875" style="269" customWidth="1"/>
    <col min="16" max="16" width="10.25" style="713" customWidth="1"/>
    <col min="17" max="18" width="7.5" style="269" customWidth="1"/>
    <col min="19" max="19" width="23.625" style="269" customWidth="1"/>
    <col min="20" max="256" width="9" style="269"/>
    <col min="257" max="258" width="0" style="269" hidden="1" customWidth="1"/>
    <col min="259" max="259" width="26.875" style="269" customWidth="1"/>
    <col min="260" max="263" width="9" style="269"/>
    <col min="264" max="264" width="9.5" style="269" customWidth="1"/>
    <col min="265" max="267" width="9" style="269"/>
    <col min="268" max="270" width="8.375" style="269" customWidth="1"/>
    <col min="271" max="271" width="11" style="269" customWidth="1"/>
    <col min="272" max="272" width="16.125" style="269" customWidth="1"/>
    <col min="273" max="274" width="9" style="269"/>
    <col min="275" max="275" width="37.25" style="269" customWidth="1"/>
    <col min="276" max="512" width="9" style="269"/>
    <col min="513" max="514" width="0" style="269" hidden="1" customWidth="1"/>
    <col min="515" max="515" width="26.875" style="269" customWidth="1"/>
    <col min="516" max="519" width="9" style="269"/>
    <col min="520" max="520" width="9.5" style="269" customWidth="1"/>
    <col min="521" max="523" width="9" style="269"/>
    <col min="524" max="526" width="8.375" style="269" customWidth="1"/>
    <col min="527" max="527" width="11" style="269" customWidth="1"/>
    <col min="528" max="528" width="16.125" style="269" customWidth="1"/>
    <col min="529" max="530" width="9" style="269"/>
    <col min="531" max="531" width="37.25" style="269" customWidth="1"/>
    <col min="532" max="768" width="9" style="269"/>
    <col min="769" max="770" width="0" style="269" hidden="1" customWidth="1"/>
    <col min="771" max="771" width="26.875" style="269" customWidth="1"/>
    <col min="772" max="775" width="9" style="269"/>
    <col min="776" max="776" width="9.5" style="269" customWidth="1"/>
    <col min="777" max="779" width="9" style="269"/>
    <col min="780" max="782" width="8.375" style="269" customWidth="1"/>
    <col min="783" max="783" width="11" style="269" customWidth="1"/>
    <col min="784" max="784" width="16.125" style="269" customWidth="1"/>
    <col min="785" max="786" width="9" style="269"/>
    <col min="787" max="787" width="37.25" style="269" customWidth="1"/>
    <col min="788" max="1024" width="9" style="269"/>
    <col min="1025" max="1026" width="0" style="269" hidden="1" customWidth="1"/>
    <col min="1027" max="1027" width="26.875" style="269" customWidth="1"/>
    <col min="1028" max="1031" width="9" style="269"/>
    <col min="1032" max="1032" width="9.5" style="269" customWidth="1"/>
    <col min="1033" max="1035" width="9" style="269"/>
    <col min="1036" max="1038" width="8.375" style="269" customWidth="1"/>
    <col min="1039" max="1039" width="11" style="269" customWidth="1"/>
    <col min="1040" max="1040" width="16.125" style="269" customWidth="1"/>
    <col min="1041" max="1042" width="9" style="269"/>
    <col min="1043" max="1043" width="37.25" style="269" customWidth="1"/>
    <col min="1044" max="1280" width="9" style="269"/>
    <col min="1281" max="1282" width="0" style="269" hidden="1" customWidth="1"/>
    <col min="1283" max="1283" width="26.875" style="269" customWidth="1"/>
    <col min="1284" max="1287" width="9" style="269"/>
    <col min="1288" max="1288" width="9.5" style="269" customWidth="1"/>
    <col min="1289" max="1291" width="9" style="269"/>
    <col min="1292" max="1294" width="8.375" style="269" customWidth="1"/>
    <col min="1295" max="1295" width="11" style="269" customWidth="1"/>
    <col min="1296" max="1296" width="16.125" style="269" customWidth="1"/>
    <col min="1297" max="1298" width="9" style="269"/>
    <col min="1299" max="1299" width="37.25" style="269" customWidth="1"/>
    <col min="1300" max="1536" width="9" style="269"/>
    <col min="1537" max="1538" width="0" style="269" hidden="1" customWidth="1"/>
    <col min="1539" max="1539" width="26.875" style="269" customWidth="1"/>
    <col min="1540" max="1543" width="9" style="269"/>
    <col min="1544" max="1544" width="9.5" style="269" customWidth="1"/>
    <col min="1545" max="1547" width="9" style="269"/>
    <col min="1548" max="1550" width="8.375" style="269" customWidth="1"/>
    <col min="1551" max="1551" width="11" style="269" customWidth="1"/>
    <col min="1552" max="1552" width="16.125" style="269" customWidth="1"/>
    <col min="1553" max="1554" width="9" style="269"/>
    <col min="1555" max="1555" width="37.25" style="269" customWidth="1"/>
    <col min="1556" max="1792" width="9" style="269"/>
    <col min="1793" max="1794" width="0" style="269" hidden="1" customWidth="1"/>
    <col min="1795" max="1795" width="26.875" style="269" customWidth="1"/>
    <col min="1796" max="1799" width="9" style="269"/>
    <col min="1800" max="1800" width="9.5" style="269" customWidth="1"/>
    <col min="1801" max="1803" width="9" style="269"/>
    <col min="1804" max="1806" width="8.375" style="269" customWidth="1"/>
    <col min="1807" max="1807" width="11" style="269" customWidth="1"/>
    <col min="1808" max="1808" width="16.125" style="269" customWidth="1"/>
    <col min="1809" max="1810" width="9" style="269"/>
    <col min="1811" max="1811" width="37.25" style="269" customWidth="1"/>
    <col min="1812" max="2048" width="9" style="269"/>
    <col min="2049" max="2050" width="0" style="269" hidden="1" customWidth="1"/>
    <col min="2051" max="2051" width="26.875" style="269" customWidth="1"/>
    <col min="2052" max="2055" width="9" style="269"/>
    <col min="2056" max="2056" width="9.5" style="269" customWidth="1"/>
    <col min="2057" max="2059" width="9" style="269"/>
    <col min="2060" max="2062" width="8.375" style="269" customWidth="1"/>
    <col min="2063" max="2063" width="11" style="269" customWidth="1"/>
    <col min="2064" max="2064" width="16.125" style="269" customWidth="1"/>
    <col min="2065" max="2066" width="9" style="269"/>
    <col min="2067" max="2067" width="37.25" style="269" customWidth="1"/>
    <col min="2068" max="2304" width="9" style="269"/>
    <col min="2305" max="2306" width="0" style="269" hidden="1" customWidth="1"/>
    <col min="2307" max="2307" width="26.875" style="269" customWidth="1"/>
    <col min="2308" max="2311" width="9" style="269"/>
    <col min="2312" max="2312" width="9.5" style="269" customWidth="1"/>
    <col min="2313" max="2315" width="9" style="269"/>
    <col min="2316" max="2318" width="8.375" style="269" customWidth="1"/>
    <col min="2319" max="2319" width="11" style="269" customWidth="1"/>
    <col min="2320" max="2320" width="16.125" style="269" customWidth="1"/>
    <col min="2321" max="2322" width="9" style="269"/>
    <col min="2323" max="2323" width="37.25" style="269" customWidth="1"/>
    <col min="2324" max="2560" width="9" style="269"/>
    <col min="2561" max="2562" width="0" style="269" hidden="1" customWidth="1"/>
    <col min="2563" max="2563" width="26.875" style="269" customWidth="1"/>
    <col min="2564" max="2567" width="9" style="269"/>
    <col min="2568" max="2568" width="9.5" style="269" customWidth="1"/>
    <col min="2569" max="2571" width="9" style="269"/>
    <col min="2572" max="2574" width="8.375" style="269" customWidth="1"/>
    <col min="2575" max="2575" width="11" style="269" customWidth="1"/>
    <col min="2576" max="2576" width="16.125" style="269" customWidth="1"/>
    <col min="2577" max="2578" width="9" style="269"/>
    <col min="2579" max="2579" width="37.25" style="269" customWidth="1"/>
    <col min="2580" max="2816" width="9" style="269"/>
    <col min="2817" max="2818" width="0" style="269" hidden="1" customWidth="1"/>
    <col min="2819" max="2819" width="26.875" style="269" customWidth="1"/>
    <col min="2820" max="2823" width="9" style="269"/>
    <col min="2824" max="2824" width="9.5" style="269" customWidth="1"/>
    <col min="2825" max="2827" width="9" style="269"/>
    <col min="2828" max="2830" width="8.375" style="269" customWidth="1"/>
    <col min="2831" max="2831" width="11" style="269" customWidth="1"/>
    <col min="2832" max="2832" width="16.125" style="269" customWidth="1"/>
    <col min="2833" max="2834" width="9" style="269"/>
    <col min="2835" max="2835" width="37.25" style="269" customWidth="1"/>
    <col min="2836" max="3072" width="9" style="269"/>
    <col min="3073" max="3074" width="0" style="269" hidden="1" customWidth="1"/>
    <col min="3075" max="3075" width="26.875" style="269" customWidth="1"/>
    <col min="3076" max="3079" width="9" style="269"/>
    <col min="3080" max="3080" width="9.5" style="269" customWidth="1"/>
    <col min="3081" max="3083" width="9" style="269"/>
    <col min="3084" max="3086" width="8.375" style="269" customWidth="1"/>
    <col min="3087" max="3087" width="11" style="269" customWidth="1"/>
    <col min="3088" max="3088" width="16.125" style="269" customWidth="1"/>
    <col min="3089" max="3090" width="9" style="269"/>
    <col min="3091" max="3091" width="37.25" style="269" customWidth="1"/>
    <col min="3092" max="3328" width="9" style="269"/>
    <col min="3329" max="3330" width="0" style="269" hidden="1" customWidth="1"/>
    <col min="3331" max="3331" width="26.875" style="269" customWidth="1"/>
    <col min="3332" max="3335" width="9" style="269"/>
    <col min="3336" max="3336" width="9.5" style="269" customWidth="1"/>
    <col min="3337" max="3339" width="9" style="269"/>
    <col min="3340" max="3342" width="8.375" style="269" customWidth="1"/>
    <col min="3343" max="3343" width="11" style="269" customWidth="1"/>
    <col min="3344" max="3344" width="16.125" style="269" customWidth="1"/>
    <col min="3345" max="3346" width="9" style="269"/>
    <col min="3347" max="3347" width="37.25" style="269" customWidth="1"/>
    <col min="3348" max="3584" width="9" style="269"/>
    <col min="3585" max="3586" width="0" style="269" hidden="1" customWidth="1"/>
    <col min="3587" max="3587" width="26.875" style="269" customWidth="1"/>
    <col min="3588" max="3591" width="9" style="269"/>
    <col min="3592" max="3592" width="9.5" style="269" customWidth="1"/>
    <col min="3593" max="3595" width="9" style="269"/>
    <col min="3596" max="3598" width="8.375" style="269" customWidth="1"/>
    <col min="3599" max="3599" width="11" style="269" customWidth="1"/>
    <col min="3600" max="3600" width="16.125" style="269" customWidth="1"/>
    <col min="3601" max="3602" width="9" style="269"/>
    <col min="3603" max="3603" width="37.25" style="269" customWidth="1"/>
    <col min="3604" max="3840" width="9" style="269"/>
    <col min="3841" max="3842" width="0" style="269" hidden="1" customWidth="1"/>
    <col min="3843" max="3843" width="26.875" style="269" customWidth="1"/>
    <col min="3844" max="3847" width="9" style="269"/>
    <col min="3848" max="3848" width="9.5" style="269" customWidth="1"/>
    <col min="3849" max="3851" width="9" style="269"/>
    <col min="3852" max="3854" width="8.375" style="269" customWidth="1"/>
    <col min="3855" max="3855" width="11" style="269" customWidth="1"/>
    <col min="3856" max="3856" width="16.125" style="269" customWidth="1"/>
    <col min="3857" max="3858" width="9" style="269"/>
    <col min="3859" max="3859" width="37.25" style="269" customWidth="1"/>
    <col min="3860" max="4096" width="9" style="269"/>
    <col min="4097" max="4098" width="0" style="269" hidden="1" customWidth="1"/>
    <col min="4099" max="4099" width="26.875" style="269" customWidth="1"/>
    <col min="4100" max="4103" width="9" style="269"/>
    <col min="4104" max="4104" width="9.5" style="269" customWidth="1"/>
    <col min="4105" max="4107" width="9" style="269"/>
    <col min="4108" max="4110" width="8.375" style="269" customWidth="1"/>
    <col min="4111" max="4111" width="11" style="269" customWidth="1"/>
    <col min="4112" max="4112" width="16.125" style="269" customWidth="1"/>
    <col min="4113" max="4114" width="9" style="269"/>
    <col min="4115" max="4115" width="37.25" style="269" customWidth="1"/>
    <col min="4116" max="4352" width="9" style="269"/>
    <col min="4353" max="4354" width="0" style="269" hidden="1" customWidth="1"/>
    <col min="4355" max="4355" width="26.875" style="269" customWidth="1"/>
    <col min="4356" max="4359" width="9" style="269"/>
    <col min="4360" max="4360" width="9.5" style="269" customWidth="1"/>
    <col min="4361" max="4363" width="9" style="269"/>
    <col min="4364" max="4366" width="8.375" style="269" customWidth="1"/>
    <col min="4367" max="4367" width="11" style="269" customWidth="1"/>
    <col min="4368" max="4368" width="16.125" style="269" customWidth="1"/>
    <col min="4369" max="4370" width="9" style="269"/>
    <col min="4371" max="4371" width="37.25" style="269" customWidth="1"/>
    <col min="4372" max="4608" width="9" style="269"/>
    <col min="4609" max="4610" width="0" style="269" hidden="1" customWidth="1"/>
    <col min="4611" max="4611" width="26.875" style="269" customWidth="1"/>
    <col min="4612" max="4615" width="9" style="269"/>
    <col min="4616" max="4616" width="9.5" style="269" customWidth="1"/>
    <col min="4617" max="4619" width="9" style="269"/>
    <col min="4620" max="4622" width="8.375" style="269" customWidth="1"/>
    <col min="4623" max="4623" width="11" style="269" customWidth="1"/>
    <col min="4624" max="4624" width="16.125" style="269" customWidth="1"/>
    <col min="4625" max="4626" width="9" style="269"/>
    <col min="4627" max="4627" width="37.25" style="269" customWidth="1"/>
    <col min="4628" max="4864" width="9" style="269"/>
    <col min="4865" max="4866" width="0" style="269" hidden="1" customWidth="1"/>
    <col min="4867" max="4867" width="26.875" style="269" customWidth="1"/>
    <col min="4868" max="4871" width="9" style="269"/>
    <col min="4872" max="4872" width="9.5" style="269" customWidth="1"/>
    <col min="4873" max="4875" width="9" style="269"/>
    <col min="4876" max="4878" width="8.375" style="269" customWidth="1"/>
    <col min="4879" max="4879" width="11" style="269" customWidth="1"/>
    <col min="4880" max="4880" width="16.125" style="269" customWidth="1"/>
    <col min="4881" max="4882" width="9" style="269"/>
    <col min="4883" max="4883" width="37.25" style="269" customWidth="1"/>
    <col min="4884" max="5120" width="9" style="269"/>
    <col min="5121" max="5122" width="0" style="269" hidden="1" customWidth="1"/>
    <col min="5123" max="5123" width="26.875" style="269" customWidth="1"/>
    <col min="5124" max="5127" width="9" style="269"/>
    <col min="5128" max="5128" width="9.5" style="269" customWidth="1"/>
    <col min="5129" max="5131" width="9" style="269"/>
    <col min="5132" max="5134" width="8.375" style="269" customWidth="1"/>
    <col min="5135" max="5135" width="11" style="269" customWidth="1"/>
    <col min="5136" max="5136" width="16.125" style="269" customWidth="1"/>
    <col min="5137" max="5138" width="9" style="269"/>
    <col min="5139" max="5139" width="37.25" style="269" customWidth="1"/>
    <col min="5140" max="5376" width="9" style="269"/>
    <col min="5377" max="5378" width="0" style="269" hidden="1" customWidth="1"/>
    <col min="5379" max="5379" width="26.875" style="269" customWidth="1"/>
    <col min="5380" max="5383" width="9" style="269"/>
    <col min="5384" max="5384" width="9.5" style="269" customWidth="1"/>
    <col min="5385" max="5387" width="9" style="269"/>
    <col min="5388" max="5390" width="8.375" style="269" customWidth="1"/>
    <col min="5391" max="5391" width="11" style="269" customWidth="1"/>
    <col min="5392" max="5392" width="16.125" style="269" customWidth="1"/>
    <col min="5393" max="5394" width="9" style="269"/>
    <col min="5395" max="5395" width="37.25" style="269" customWidth="1"/>
    <col min="5396" max="5632" width="9" style="269"/>
    <col min="5633" max="5634" width="0" style="269" hidden="1" customWidth="1"/>
    <col min="5635" max="5635" width="26.875" style="269" customWidth="1"/>
    <col min="5636" max="5639" width="9" style="269"/>
    <col min="5640" max="5640" width="9.5" style="269" customWidth="1"/>
    <col min="5641" max="5643" width="9" style="269"/>
    <col min="5644" max="5646" width="8.375" style="269" customWidth="1"/>
    <col min="5647" max="5647" width="11" style="269" customWidth="1"/>
    <col min="5648" max="5648" width="16.125" style="269" customWidth="1"/>
    <col min="5649" max="5650" width="9" style="269"/>
    <col min="5651" max="5651" width="37.25" style="269" customWidth="1"/>
    <col min="5652" max="5888" width="9" style="269"/>
    <col min="5889" max="5890" width="0" style="269" hidden="1" customWidth="1"/>
    <col min="5891" max="5891" width="26.875" style="269" customWidth="1"/>
    <col min="5892" max="5895" width="9" style="269"/>
    <col min="5896" max="5896" width="9.5" style="269" customWidth="1"/>
    <col min="5897" max="5899" width="9" style="269"/>
    <col min="5900" max="5902" width="8.375" style="269" customWidth="1"/>
    <col min="5903" max="5903" width="11" style="269" customWidth="1"/>
    <col min="5904" max="5904" width="16.125" style="269" customWidth="1"/>
    <col min="5905" max="5906" width="9" style="269"/>
    <col min="5907" max="5907" width="37.25" style="269" customWidth="1"/>
    <col min="5908" max="6144" width="9" style="269"/>
    <col min="6145" max="6146" width="0" style="269" hidden="1" customWidth="1"/>
    <col min="6147" max="6147" width="26.875" style="269" customWidth="1"/>
    <col min="6148" max="6151" width="9" style="269"/>
    <col min="6152" max="6152" width="9.5" style="269" customWidth="1"/>
    <col min="6153" max="6155" width="9" style="269"/>
    <col min="6156" max="6158" width="8.375" style="269" customWidth="1"/>
    <col min="6159" max="6159" width="11" style="269" customWidth="1"/>
    <col min="6160" max="6160" width="16.125" style="269" customWidth="1"/>
    <col min="6161" max="6162" width="9" style="269"/>
    <col min="6163" max="6163" width="37.25" style="269" customWidth="1"/>
    <col min="6164" max="6400" width="9" style="269"/>
    <col min="6401" max="6402" width="0" style="269" hidden="1" customWidth="1"/>
    <col min="6403" max="6403" width="26.875" style="269" customWidth="1"/>
    <col min="6404" max="6407" width="9" style="269"/>
    <col min="6408" max="6408" width="9.5" style="269" customWidth="1"/>
    <col min="6409" max="6411" width="9" style="269"/>
    <col min="6412" max="6414" width="8.375" style="269" customWidth="1"/>
    <col min="6415" max="6415" width="11" style="269" customWidth="1"/>
    <col min="6416" max="6416" width="16.125" style="269" customWidth="1"/>
    <col min="6417" max="6418" width="9" style="269"/>
    <col min="6419" max="6419" width="37.25" style="269" customWidth="1"/>
    <col min="6420" max="6656" width="9" style="269"/>
    <col min="6657" max="6658" width="0" style="269" hidden="1" customWidth="1"/>
    <col min="6659" max="6659" width="26.875" style="269" customWidth="1"/>
    <col min="6660" max="6663" width="9" style="269"/>
    <col min="6664" max="6664" width="9.5" style="269" customWidth="1"/>
    <col min="6665" max="6667" width="9" style="269"/>
    <col min="6668" max="6670" width="8.375" style="269" customWidth="1"/>
    <col min="6671" max="6671" width="11" style="269" customWidth="1"/>
    <col min="6672" max="6672" width="16.125" style="269" customWidth="1"/>
    <col min="6673" max="6674" width="9" style="269"/>
    <col min="6675" max="6675" width="37.25" style="269" customWidth="1"/>
    <col min="6676" max="6912" width="9" style="269"/>
    <col min="6913" max="6914" width="0" style="269" hidden="1" customWidth="1"/>
    <col min="6915" max="6915" width="26.875" style="269" customWidth="1"/>
    <col min="6916" max="6919" width="9" style="269"/>
    <col min="6920" max="6920" width="9.5" style="269" customWidth="1"/>
    <col min="6921" max="6923" width="9" style="269"/>
    <col min="6924" max="6926" width="8.375" style="269" customWidth="1"/>
    <col min="6927" max="6927" width="11" style="269" customWidth="1"/>
    <col min="6928" max="6928" width="16.125" style="269" customWidth="1"/>
    <col min="6929" max="6930" width="9" style="269"/>
    <col min="6931" max="6931" width="37.25" style="269" customWidth="1"/>
    <col min="6932" max="7168" width="9" style="269"/>
    <col min="7169" max="7170" width="0" style="269" hidden="1" customWidth="1"/>
    <col min="7171" max="7171" width="26.875" style="269" customWidth="1"/>
    <col min="7172" max="7175" width="9" style="269"/>
    <col min="7176" max="7176" width="9.5" style="269" customWidth="1"/>
    <col min="7177" max="7179" width="9" style="269"/>
    <col min="7180" max="7182" width="8.375" style="269" customWidth="1"/>
    <col min="7183" max="7183" width="11" style="269" customWidth="1"/>
    <col min="7184" max="7184" width="16.125" style="269" customWidth="1"/>
    <col min="7185" max="7186" width="9" style="269"/>
    <col min="7187" max="7187" width="37.25" style="269" customWidth="1"/>
    <col min="7188" max="7424" width="9" style="269"/>
    <col min="7425" max="7426" width="0" style="269" hidden="1" customWidth="1"/>
    <col min="7427" max="7427" width="26.875" style="269" customWidth="1"/>
    <col min="7428" max="7431" width="9" style="269"/>
    <col min="7432" max="7432" width="9.5" style="269" customWidth="1"/>
    <col min="7433" max="7435" width="9" style="269"/>
    <col min="7436" max="7438" width="8.375" style="269" customWidth="1"/>
    <col min="7439" max="7439" width="11" style="269" customWidth="1"/>
    <col min="7440" max="7440" width="16.125" style="269" customWidth="1"/>
    <col min="7441" max="7442" width="9" style="269"/>
    <col min="7443" max="7443" width="37.25" style="269" customWidth="1"/>
    <col min="7444" max="7680" width="9" style="269"/>
    <col min="7681" max="7682" width="0" style="269" hidden="1" customWidth="1"/>
    <col min="7683" max="7683" width="26.875" style="269" customWidth="1"/>
    <col min="7684" max="7687" width="9" style="269"/>
    <col min="7688" max="7688" width="9.5" style="269" customWidth="1"/>
    <col min="7689" max="7691" width="9" style="269"/>
    <col min="7692" max="7694" width="8.375" style="269" customWidth="1"/>
    <col min="7695" max="7695" width="11" style="269" customWidth="1"/>
    <col min="7696" max="7696" width="16.125" style="269" customWidth="1"/>
    <col min="7697" max="7698" width="9" style="269"/>
    <col min="7699" max="7699" width="37.25" style="269" customWidth="1"/>
    <col min="7700" max="7936" width="9" style="269"/>
    <col min="7937" max="7938" width="0" style="269" hidden="1" customWidth="1"/>
    <col min="7939" max="7939" width="26.875" style="269" customWidth="1"/>
    <col min="7940" max="7943" width="9" style="269"/>
    <col min="7944" max="7944" width="9.5" style="269" customWidth="1"/>
    <col min="7945" max="7947" width="9" style="269"/>
    <col min="7948" max="7950" width="8.375" style="269" customWidth="1"/>
    <col min="7951" max="7951" width="11" style="269" customWidth="1"/>
    <col min="7952" max="7952" width="16.125" style="269" customWidth="1"/>
    <col min="7953" max="7954" width="9" style="269"/>
    <col min="7955" max="7955" width="37.25" style="269" customWidth="1"/>
    <col min="7956" max="8192" width="9" style="269"/>
    <col min="8193" max="8194" width="0" style="269" hidden="1" customWidth="1"/>
    <col min="8195" max="8195" width="26.875" style="269" customWidth="1"/>
    <col min="8196" max="8199" width="9" style="269"/>
    <col min="8200" max="8200" width="9.5" style="269" customWidth="1"/>
    <col min="8201" max="8203" width="9" style="269"/>
    <col min="8204" max="8206" width="8.375" style="269" customWidth="1"/>
    <col min="8207" max="8207" width="11" style="269" customWidth="1"/>
    <col min="8208" max="8208" width="16.125" style="269" customWidth="1"/>
    <col min="8209" max="8210" width="9" style="269"/>
    <col min="8211" max="8211" width="37.25" style="269" customWidth="1"/>
    <col min="8212" max="8448" width="9" style="269"/>
    <col min="8449" max="8450" width="0" style="269" hidden="1" customWidth="1"/>
    <col min="8451" max="8451" width="26.875" style="269" customWidth="1"/>
    <col min="8452" max="8455" width="9" style="269"/>
    <col min="8456" max="8456" width="9.5" style="269" customWidth="1"/>
    <col min="8457" max="8459" width="9" style="269"/>
    <col min="8460" max="8462" width="8.375" style="269" customWidth="1"/>
    <col min="8463" max="8463" width="11" style="269" customWidth="1"/>
    <col min="8464" max="8464" width="16.125" style="269" customWidth="1"/>
    <col min="8465" max="8466" width="9" style="269"/>
    <col min="8467" max="8467" width="37.25" style="269" customWidth="1"/>
    <col min="8468" max="8704" width="9" style="269"/>
    <col min="8705" max="8706" width="0" style="269" hidden="1" customWidth="1"/>
    <col min="8707" max="8707" width="26.875" style="269" customWidth="1"/>
    <col min="8708" max="8711" width="9" style="269"/>
    <col min="8712" max="8712" width="9.5" style="269" customWidth="1"/>
    <col min="8713" max="8715" width="9" style="269"/>
    <col min="8716" max="8718" width="8.375" style="269" customWidth="1"/>
    <col min="8719" max="8719" width="11" style="269" customWidth="1"/>
    <col min="8720" max="8720" width="16.125" style="269" customWidth="1"/>
    <col min="8721" max="8722" width="9" style="269"/>
    <col min="8723" max="8723" width="37.25" style="269" customWidth="1"/>
    <col min="8724" max="8960" width="9" style="269"/>
    <col min="8961" max="8962" width="0" style="269" hidden="1" customWidth="1"/>
    <col min="8963" max="8963" width="26.875" style="269" customWidth="1"/>
    <col min="8964" max="8967" width="9" style="269"/>
    <col min="8968" max="8968" width="9.5" style="269" customWidth="1"/>
    <col min="8969" max="8971" width="9" style="269"/>
    <col min="8972" max="8974" width="8.375" style="269" customWidth="1"/>
    <col min="8975" max="8975" width="11" style="269" customWidth="1"/>
    <col min="8976" max="8976" width="16.125" style="269" customWidth="1"/>
    <col min="8977" max="8978" width="9" style="269"/>
    <col min="8979" max="8979" width="37.25" style="269" customWidth="1"/>
    <col min="8980" max="9216" width="9" style="269"/>
    <col min="9217" max="9218" width="0" style="269" hidden="1" customWidth="1"/>
    <col min="9219" max="9219" width="26.875" style="269" customWidth="1"/>
    <col min="9220" max="9223" width="9" style="269"/>
    <col min="9224" max="9224" width="9.5" style="269" customWidth="1"/>
    <col min="9225" max="9227" width="9" style="269"/>
    <col min="9228" max="9230" width="8.375" style="269" customWidth="1"/>
    <col min="9231" max="9231" width="11" style="269" customWidth="1"/>
    <col min="9232" max="9232" width="16.125" style="269" customWidth="1"/>
    <col min="9233" max="9234" width="9" style="269"/>
    <col min="9235" max="9235" width="37.25" style="269" customWidth="1"/>
    <col min="9236" max="9472" width="9" style="269"/>
    <col min="9473" max="9474" width="0" style="269" hidden="1" customWidth="1"/>
    <col min="9475" max="9475" width="26.875" style="269" customWidth="1"/>
    <col min="9476" max="9479" width="9" style="269"/>
    <col min="9480" max="9480" width="9.5" style="269" customWidth="1"/>
    <col min="9481" max="9483" width="9" style="269"/>
    <col min="9484" max="9486" width="8.375" style="269" customWidth="1"/>
    <col min="9487" max="9487" width="11" style="269" customWidth="1"/>
    <col min="9488" max="9488" width="16.125" style="269" customWidth="1"/>
    <col min="9489" max="9490" width="9" style="269"/>
    <col min="9491" max="9491" width="37.25" style="269" customWidth="1"/>
    <col min="9492" max="9728" width="9" style="269"/>
    <col min="9729" max="9730" width="0" style="269" hidden="1" customWidth="1"/>
    <col min="9731" max="9731" width="26.875" style="269" customWidth="1"/>
    <col min="9732" max="9735" width="9" style="269"/>
    <col min="9736" max="9736" width="9.5" style="269" customWidth="1"/>
    <col min="9737" max="9739" width="9" style="269"/>
    <col min="9740" max="9742" width="8.375" style="269" customWidth="1"/>
    <col min="9743" max="9743" width="11" style="269" customWidth="1"/>
    <col min="9744" max="9744" width="16.125" style="269" customWidth="1"/>
    <col min="9745" max="9746" width="9" style="269"/>
    <col min="9747" max="9747" width="37.25" style="269" customWidth="1"/>
    <col min="9748" max="9984" width="9" style="269"/>
    <col min="9985" max="9986" width="0" style="269" hidden="1" customWidth="1"/>
    <col min="9987" max="9987" width="26.875" style="269" customWidth="1"/>
    <col min="9988" max="9991" width="9" style="269"/>
    <col min="9992" max="9992" width="9.5" style="269" customWidth="1"/>
    <col min="9993" max="9995" width="9" style="269"/>
    <col min="9996" max="9998" width="8.375" style="269" customWidth="1"/>
    <col min="9999" max="9999" width="11" style="269" customWidth="1"/>
    <col min="10000" max="10000" width="16.125" style="269" customWidth="1"/>
    <col min="10001" max="10002" width="9" style="269"/>
    <col min="10003" max="10003" width="37.25" style="269" customWidth="1"/>
    <col min="10004" max="10240" width="9" style="269"/>
    <col min="10241" max="10242" width="0" style="269" hidden="1" customWidth="1"/>
    <col min="10243" max="10243" width="26.875" style="269" customWidth="1"/>
    <col min="10244" max="10247" width="9" style="269"/>
    <col min="10248" max="10248" width="9.5" style="269" customWidth="1"/>
    <col min="10249" max="10251" width="9" style="269"/>
    <col min="10252" max="10254" width="8.375" style="269" customWidth="1"/>
    <col min="10255" max="10255" width="11" style="269" customWidth="1"/>
    <col min="10256" max="10256" width="16.125" style="269" customWidth="1"/>
    <col min="10257" max="10258" width="9" style="269"/>
    <col min="10259" max="10259" width="37.25" style="269" customWidth="1"/>
    <col min="10260" max="10496" width="9" style="269"/>
    <col min="10497" max="10498" width="0" style="269" hidden="1" customWidth="1"/>
    <col min="10499" max="10499" width="26.875" style="269" customWidth="1"/>
    <col min="10500" max="10503" width="9" style="269"/>
    <col min="10504" max="10504" width="9.5" style="269" customWidth="1"/>
    <col min="10505" max="10507" width="9" style="269"/>
    <col min="10508" max="10510" width="8.375" style="269" customWidth="1"/>
    <col min="10511" max="10511" width="11" style="269" customWidth="1"/>
    <col min="10512" max="10512" width="16.125" style="269" customWidth="1"/>
    <col min="10513" max="10514" width="9" style="269"/>
    <col min="10515" max="10515" width="37.25" style="269" customWidth="1"/>
    <col min="10516" max="10752" width="9" style="269"/>
    <col min="10753" max="10754" width="0" style="269" hidden="1" customWidth="1"/>
    <col min="10755" max="10755" width="26.875" style="269" customWidth="1"/>
    <col min="10756" max="10759" width="9" style="269"/>
    <col min="10760" max="10760" width="9.5" style="269" customWidth="1"/>
    <col min="10761" max="10763" width="9" style="269"/>
    <col min="10764" max="10766" width="8.375" style="269" customWidth="1"/>
    <col min="10767" max="10767" width="11" style="269" customWidth="1"/>
    <col min="10768" max="10768" width="16.125" style="269" customWidth="1"/>
    <col min="10769" max="10770" width="9" style="269"/>
    <col min="10771" max="10771" width="37.25" style="269" customWidth="1"/>
    <col min="10772" max="11008" width="9" style="269"/>
    <col min="11009" max="11010" width="0" style="269" hidden="1" customWidth="1"/>
    <col min="11011" max="11011" width="26.875" style="269" customWidth="1"/>
    <col min="11012" max="11015" width="9" style="269"/>
    <col min="11016" max="11016" width="9.5" style="269" customWidth="1"/>
    <col min="11017" max="11019" width="9" style="269"/>
    <col min="11020" max="11022" width="8.375" style="269" customWidth="1"/>
    <col min="11023" max="11023" width="11" style="269" customWidth="1"/>
    <col min="11024" max="11024" width="16.125" style="269" customWidth="1"/>
    <col min="11025" max="11026" width="9" style="269"/>
    <col min="11027" max="11027" width="37.25" style="269" customWidth="1"/>
    <col min="11028" max="11264" width="9" style="269"/>
    <col min="11265" max="11266" width="0" style="269" hidden="1" customWidth="1"/>
    <col min="11267" max="11267" width="26.875" style="269" customWidth="1"/>
    <col min="11268" max="11271" width="9" style="269"/>
    <col min="11272" max="11272" width="9.5" style="269" customWidth="1"/>
    <col min="11273" max="11275" width="9" style="269"/>
    <col min="11276" max="11278" width="8.375" style="269" customWidth="1"/>
    <col min="11279" max="11279" width="11" style="269" customWidth="1"/>
    <col min="11280" max="11280" width="16.125" style="269" customWidth="1"/>
    <col min="11281" max="11282" width="9" style="269"/>
    <col min="11283" max="11283" width="37.25" style="269" customWidth="1"/>
    <col min="11284" max="11520" width="9" style="269"/>
    <col min="11521" max="11522" width="0" style="269" hidden="1" customWidth="1"/>
    <col min="11523" max="11523" width="26.875" style="269" customWidth="1"/>
    <col min="11524" max="11527" width="9" style="269"/>
    <col min="11528" max="11528" width="9.5" style="269" customWidth="1"/>
    <col min="11529" max="11531" width="9" style="269"/>
    <col min="11532" max="11534" width="8.375" style="269" customWidth="1"/>
    <col min="11535" max="11535" width="11" style="269" customWidth="1"/>
    <col min="11536" max="11536" width="16.125" style="269" customWidth="1"/>
    <col min="11537" max="11538" width="9" style="269"/>
    <col min="11539" max="11539" width="37.25" style="269" customWidth="1"/>
    <col min="11540" max="11776" width="9" style="269"/>
    <col min="11777" max="11778" width="0" style="269" hidden="1" customWidth="1"/>
    <col min="11779" max="11779" width="26.875" style="269" customWidth="1"/>
    <col min="11780" max="11783" width="9" style="269"/>
    <col min="11784" max="11784" width="9.5" style="269" customWidth="1"/>
    <col min="11785" max="11787" width="9" style="269"/>
    <col min="11788" max="11790" width="8.375" style="269" customWidth="1"/>
    <col min="11791" max="11791" width="11" style="269" customWidth="1"/>
    <col min="11792" max="11792" width="16.125" style="269" customWidth="1"/>
    <col min="11793" max="11794" width="9" style="269"/>
    <col min="11795" max="11795" width="37.25" style="269" customWidth="1"/>
    <col min="11796" max="12032" width="9" style="269"/>
    <col min="12033" max="12034" width="0" style="269" hidden="1" customWidth="1"/>
    <col min="12035" max="12035" width="26.875" style="269" customWidth="1"/>
    <col min="12036" max="12039" width="9" style="269"/>
    <col min="12040" max="12040" width="9.5" style="269" customWidth="1"/>
    <col min="12041" max="12043" width="9" style="269"/>
    <col min="12044" max="12046" width="8.375" style="269" customWidth="1"/>
    <col min="12047" max="12047" width="11" style="269" customWidth="1"/>
    <col min="12048" max="12048" width="16.125" style="269" customWidth="1"/>
    <col min="12049" max="12050" width="9" style="269"/>
    <col min="12051" max="12051" width="37.25" style="269" customWidth="1"/>
    <col min="12052" max="12288" width="9" style="269"/>
    <col min="12289" max="12290" width="0" style="269" hidden="1" customWidth="1"/>
    <col min="12291" max="12291" width="26.875" style="269" customWidth="1"/>
    <col min="12292" max="12295" width="9" style="269"/>
    <col min="12296" max="12296" width="9.5" style="269" customWidth="1"/>
    <col min="12297" max="12299" width="9" style="269"/>
    <col min="12300" max="12302" width="8.375" style="269" customWidth="1"/>
    <col min="12303" max="12303" width="11" style="269" customWidth="1"/>
    <col min="12304" max="12304" width="16.125" style="269" customWidth="1"/>
    <col min="12305" max="12306" width="9" style="269"/>
    <col min="12307" max="12307" width="37.25" style="269" customWidth="1"/>
    <col min="12308" max="12544" width="9" style="269"/>
    <col min="12545" max="12546" width="0" style="269" hidden="1" customWidth="1"/>
    <col min="12547" max="12547" width="26.875" style="269" customWidth="1"/>
    <col min="12548" max="12551" width="9" style="269"/>
    <col min="12552" max="12552" width="9.5" style="269" customWidth="1"/>
    <col min="12553" max="12555" width="9" style="269"/>
    <col min="12556" max="12558" width="8.375" style="269" customWidth="1"/>
    <col min="12559" max="12559" width="11" style="269" customWidth="1"/>
    <col min="12560" max="12560" width="16.125" style="269" customWidth="1"/>
    <col min="12561" max="12562" width="9" style="269"/>
    <col min="12563" max="12563" width="37.25" style="269" customWidth="1"/>
    <col min="12564" max="12800" width="9" style="269"/>
    <col min="12801" max="12802" width="0" style="269" hidden="1" customWidth="1"/>
    <col min="12803" max="12803" width="26.875" style="269" customWidth="1"/>
    <col min="12804" max="12807" width="9" style="269"/>
    <col min="12808" max="12808" width="9.5" style="269" customWidth="1"/>
    <col min="12809" max="12811" width="9" style="269"/>
    <col min="12812" max="12814" width="8.375" style="269" customWidth="1"/>
    <col min="12815" max="12815" width="11" style="269" customWidth="1"/>
    <col min="12816" max="12816" width="16.125" style="269" customWidth="1"/>
    <col min="12817" max="12818" width="9" style="269"/>
    <col min="12819" max="12819" width="37.25" style="269" customWidth="1"/>
    <col min="12820" max="13056" width="9" style="269"/>
    <col min="13057" max="13058" width="0" style="269" hidden="1" customWidth="1"/>
    <col min="13059" max="13059" width="26.875" style="269" customWidth="1"/>
    <col min="13060" max="13063" width="9" style="269"/>
    <col min="13064" max="13064" width="9.5" style="269" customWidth="1"/>
    <col min="13065" max="13067" width="9" style="269"/>
    <col min="13068" max="13070" width="8.375" style="269" customWidth="1"/>
    <col min="13071" max="13071" width="11" style="269" customWidth="1"/>
    <col min="13072" max="13072" width="16.125" style="269" customWidth="1"/>
    <col min="13073" max="13074" width="9" style="269"/>
    <col min="13075" max="13075" width="37.25" style="269" customWidth="1"/>
    <col min="13076" max="13312" width="9" style="269"/>
    <col min="13313" max="13314" width="0" style="269" hidden="1" customWidth="1"/>
    <col min="13315" max="13315" width="26.875" style="269" customWidth="1"/>
    <col min="13316" max="13319" width="9" style="269"/>
    <col min="13320" max="13320" width="9.5" style="269" customWidth="1"/>
    <col min="13321" max="13323" width="9" style="269"/>
    <col min="13324" max="13326" width="8.375" style="269" customWidth="1"/>
    <col min="13327" max="13327" width="11" style="269" customWidth="1"/>
    <col min="13328" max="13328" width="16.125" style="269" customWidth="1"/>
    <col min="13329" max="13330" width="9" style="269"/>
    <col min="13331" max="13331" width="37.25" style="269" customWidth="1"/>
    <col min="13332" max="13568" width="9" style="269"/>
    <col min="13569" max="13570" width="0" style="269" hidden="1" customWidth="1"/>
    <col min="13571" max="13571" width="26.875" style="269" customWidth="1"/>
    <col min="13572" max="13575" width="9" style="269"/>
    <col min="13576" max="13576" width="9.5" style="269" customWidth="1"/>
    <col min="13577" max="13579" width="9" style="269"/>
    <col min="13580" max="13582" width="8.375" style="269" customWidth="1"/>
    <col min="13583" max="13583" width="11" style="269" customWidth="1"/>
    <col min="13584" max="13584" width="16.125" style="269" customWidth="1"/>
    <col min="13585" max="13586" width="9" style="269"/>
    <col min="13587" max="13587" width="37.25" style="269" customWidth="1"/>
    <col min="13588" max="13824" width="9" style="269"/>
    <col min="13825" max="13826" width="0" style="269" hidden="1" customWidth="1"/>
    <col min="13827" max="13827" width="26.875" style="269" customWidth="1"/>
    <col min="13828" max="13831" width="9" style="269"/>
    <col min="13832" max="13832" width="9.5" style="269" customWidth="1"/>
    <col min="13833" max="13835" width="9" style="269"/>
    <col min="13836" max="13838" width="8.375" style="269" customWidth="1"/>
    <col min="13839" max="13839" width="11" style="269" customWidth="1"/>
    <col min="13840" max="13840" width="16.125" style="269" customWidth="1"/>
    <col min="13841" max="13842" width="9" style="269"/>
    <col min="13843" max="13843" width="37.25" style="269" customWidth="1"/>
    <col min="13844" max="14080" width="9" style="269"/>
    <col min="14081" max="14082" width="0" style="269" hidden="1" customWidth="1"/>
    <col min="14083" max="14083" width="26.875" style="269" customWidth="1"/>
    <col min="14084" max="14087" width="9" style="269"/>
    <col min="14088" max="14088" width="9.5" style="269" customWidth="1"/>
    <col min="14089" max="14091" width="9" style="269"/>
    <col min="14092" max="14094" width="8.375" style="269" customWidth="1"/>
    <col min="14095" max="14095" width="11" style="269" customWidth="1"/>
    <col min="14096" max="14096" width="16.125" style="269" customWidth="1"/>
    <col min="14097" max="14098" width="9" style="269"/>
    <col min="14099" max="14099" width="37.25" style="269" customWidth="1"/>
    <col min="14100" max="14336" width="9" style="269"/>
    <col min="14337" max="14338" width="0" style="269" hidden="1" customWidth="1"/>
    <col min="14339" max="14339" width="26.875" style="269" customWidth="1"/>
    <col min="14340" max="14343" width="9" style="269"/>
    <col min="14344" max="14344" width="9.5" style="269" customWidth="1"/>
    <col min="14345" max="14347" width="9" style="269"/>
    <col min="14348" max="14350" width="8.375" style="269" customWidth="1"/>
    <col min="14351" max="14351" width="11" style="269" customWidth="1"/>
    <col min="14352" max="14352" width="16.125" style="269" customWidth="1"/>
    <col min="14353" max="14354" width="9" style="269"/>
    <col min="14355" max="14355" width="37.25" style="269" customWidth="1"/>
    <col min="14356" max="14592" width="9" style="269"/>
    <col min="14593" max="14594" width="0" style="269" hidden="1" customWidth="1"/>
    <col min="14595" max="14595" width="26.875" style="269" customWidth="1"/>
    <col min="14596" max="14599" width="9" style="269"/>
    <col min="14600" max="14600" width="9.5" style="269" customWidth="1"/>
    <col min="14601" max="14603" width="9" style="269"/>
    <col min="14604" max="14606" width="8.375" style="269" customWidth="1"/>
    <col min="14607" max="14607" width="11" style="269" customWidth="1"/>
    <col min="14608" max="14608" width="16.125" style="269" customWidth="1"/>
    <col min="14609" max="14610" width="9" style="269"/>
    <col min="14611" max="14611" width="37.25" style="269" customWidth="1"/>
    <col min="14612" max="14848" width="9" style="269"/>
    <col min="14849" max="14850" width="0" style="269" hidden="1" customWidth="1"/>
    <col min="14851" max="14851" width="26.875" style="269" customWidth="1"/>
    <col min="14852" max="14855" width="9" style="269"/>
    <col min="14856" max="14856" width="9.5" style="269" customWidth="1"/>
    <col min="14857" max="14859" width="9" style="269"/>
    <col min="14860" max="14862" width="8.375" style="269" customWidth="1"/>
    <col min="14863" max="14863" width="11" style="269" customWidth="1"/>
    <col min="14864" max="14864" width="16.125" style="269" customWidth="1"/>
    <col min="14865" max="14866" width="9" style="269"/>
    <col min="14867" max="14867" width="37.25" style="269" customWidth="1"/>
    <col min="14868" max="15104" width="9" style="269"/>
    <col min="15105" max="15106" width="0" style="269" hidden="1" customWidth="1"/>
    <col min="15107" max="15107" width="26.875" style="269" customWidth="1"/>
    <col min="15108" max="15111" width="9" style="269"/>
    <col min="15112" max="15112" width="9.5" style="269" customWidth="1"/>
    <col min="15113" max="15115" width="9" style="269"/>
    <col min="15116" max="15118" width="8.375" style="269" customWidth="1"/>
    <col min="15119" max="15119" width="11" style="269" customWidth="1"/>
    <col min="15120" max="15120" width="16.125" style="269" customWidth="1"/>
    <col min="15121" max="15122" width="9" style="269"/>
    <col min="15123" max="15123" width="37.25" style="269" customWidth="1"/>
    <col min="15124" max="15360" width="9" style="269"/>
    <col min="15361" max="15362" width="0" style="269" hidden="1" customWidth="1"/>
    <col min="15363" max="15363" width="26.875" style="269" customWidth="1"/>
    <col min="15364" max="15367" width="9" style="269"/>
    <col min="15368" max="15368" width="9.5" style="269" customWidth="1"/>
    <col min="15369" max="15371" width="9" style="269"/>
    <col min="15372" max="15374" width="8.375" style="269" customWidth="1"/>
    <col min="15375" max="15375" width="11" style="269" customWidth="1"/>
    <col min="15376" max="15376" width="16.125" style="269" customWidth="1"/>
    <col min="15377" max="15378" width="9" style="269"/>
    <col min="15379" max="15379" width="37.25" style="269" customWidth="1"/>
    <col min="15380" max="15616" width="9" style="269"/>
    <col min="15617" max="15618" width="0" style="269" hidden="1" customWidth="1"/>
    <col min="15619" max="15619" width="26.875" style="269" customWidth="1"/>
    <col min="15620" max="15623" width="9" style="269"/>
    <col min="15624" max="15624" width="9.5" style="269" customWidth="1"/>
    <col min="15625" max="15627" width="9" style="269"/>
    <col min="15628" max="15630" width="8.375" style="269" customWidth="1"/>
    <col min="15631" max="15631" width="11" style="269" customWidth="1"/>
    <col min="15632" max="15632" width="16.125" style="269" customWidth="1"/>
    <col min="15633" max="15634" width="9" style="269"/>
    <col min="15635" max="15635" width="37.25" style="269" customWidth="1"/>
    <col min="15636" max="15872" width="9" style="269"/>
    <col min="15873" max="15874" width="0" style="269" hidden="1" customWidth="1"/>
    <col min="15875" max="15875" width="26.875" style="269" customWidth="1"/>
    <col min="15876" max="15879" width="9" style="269"/>
    <col min="15880" max="15880" width="9.5" style="269" customWidth="1"/>
    <col min="15881" max="15883" width="9" style="269"/>
    <col min="15884" max="15886" width="8.375" style="269" customWidth="1"/>
    <col min="15887" max="15887" width="11" style="269" customWidth="1"/>
    <col min="15888" max="15888" width="16.125" style="269" customWidth="1"/>
    <col min="15889" max="15890" width="9" style="269"/>
    <col min="15891" max="15891" width="37.25" style="269" customWidth="1"/>
    <col min="15892" max="16128" width="9" style="269"/>
    <col min="16129" max="16130" width="0" style="269" hidden="1" customWidth="1"/>
    <col min="16131" max="16131" width="26.875" style="269" customWidth="1"/>
    <col min="16132" max="16135" width="9" style="269"/>
    <col min="16136" max="16136" width="9.5" style="269" customWidth="1"/>
    <col min="16137" max="16139" width="9" style="269"/>
    <col min="16140" max="16142" width="8.375" style="269" customWidth="1"/>
    <col min="16143" max="16143" width="11" style="269" customWidth="1"/>
    <col min="16144" max="16144" width="16.125" style="269" customWidth="1"/>
    <col min="16145" max="16146" width="9" style="269"/>
    <col min="16147" max="16147" width="37.25" style="269" customWidth="1"/>
    <col min="16148" max="16384" width="9" style="269"/>
  </cols>
  <sheetData>
    <row r="1" spans="1:21" ht="23.25">
      <c r="A1" s="1728" t="s">
        <v>84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  <c r="N1" s="1728"/>
      <c r="O1" s="1728"/>
      <c r="P1" s="1728"/>
      <c r="Q1" s="1728"/>
      <c r="R1" s="1728"/>
      <c r="S1" s="1728"/>
    </row>
    <row r="2" spans="1:21" ht="23.25">
      <c r="A2" s="1728" t="s">
        <v>173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  <c r="Q2" s="1728"/>
      <c r="R2" s="1728"/>
      <c r="S2" s="1728"/>
    </row>
    <row r="3" spans="1:21" s="271" customFormat="1" ht="21.75">
      <c r="A3" s="271" t="s">
        <v>0</v>
      </c>
      <c r="P3" s="712"/>
    </row>
    <row r="4" spans="1:21" s="271" customFormat="1" ht="21.75">
      <c r="A4" s="271" t="s">
        <v>1</v>
      </c>
      <c r="P4" s="712"/>
    </row>
    <row r="5" spans="1:21" ht="15" customHeight="1">
      <c r="S5" s="272" t="s">
        <v>86</v>
      </c>
    </row>
    <row r="6" spans="1:21" s="273" customFormat="1" ht="15.75">
      <c r="A6" s="1742" t="s">
        <v>87</v>
      </c>
      <c r="B6" s="1743"/>
      <c r="C6" s="1733" t="s">
        <v>88</v>
      </c>
      <c r="D6" s="1733" t="s">
        <v>15</v>
      </c>
      <c r="E6" s="1733"/>
      <c r="F6" s="1733" t="s">
        <v>28</v>
      </c>
      <c r="G6" s="1733"/>
      <c r="H6" s="1733" t="s">
        <v>63</v>
      </c>
      <c r="I6" s="1733"/>
      <c r="J6" s="1733"/>
      <c r="K6" s="1733"/>
      <c r="L6" s="1733"/>
      <c r="M6" s="1733"/>
      <c r="N6" s="1733"/>
      <c r="O6" s="1733"/>
      <c r="P6" s="1733"/>
      <c r="Q6" s="1734" t="s">
        <v>89</v>
      </c>
      <c r="R6" s="1734" t="s">
        <v>90</v>
      </c>
      <c r="S6" s="1733" t="s">
        <v>91</v>
      </c>
    </row>
    <row r="7" spans="1:21" s="273" customFormat="1" ht="15.75">
      <c r="A7" s="1744"/>
      <c r="B7" s="1745"/>
      <c r="C7" s="1733"/>
      <c r="D7" s="1733"/>
      <c r="E7" s="1733"/>
      <c r="F7" s="1733"/>
      <c r="G7" s="1733"/>
      <c r="H7" s="1734" t="s">
        <v>76</v>
      </c>
      <c r="I7" s="1734" t="s">
        <v>77</v>
      </c>
      <c r="J7" s="1734"/>
      <c r="K7" s="1734"/>
      <c r="L7" s="1733" t="s">
        <v>175</v>
      </c>
      <c r="M7" s="1733" t="s">
        <v>92</v>
      </c>
      <c r="N7" s="1733" t="s">
        <v>93</v>
      </c>
      <c r="O7" s="1733" t="s">
        <v>94</v>
      </c>
      <c r="P7" s="1727" t="s">
        <v>10</v>
      </c>
      <c r="Q7" s="1734"/>
      <c r="R7" s="1734"/>
      <c r="S7" s="1733"/>
    </row>
    <row r="8" spans="1:21" s="273" customFormat="1" ht="15.75">
      <c r="A8" s="1746"/>
      <c r="B8" s="1747"/>
      <c r="C8" s="1733"/>
      <c r="D8" s="274" t="s">
        <v>4</v>
      </c>
      <c r="E8" s="274" t="s">
        <v>5</v>
      </c>
      <c r="F8" s="274" t="s">
        <v>4</v>
      </c>
      <c r="G8" s="274" t="s">
        <v>6</v>
      </c>
      <c r="H8" s="1734"/>
      <c r="I8" s="1734"/>
      <c r="J8" s="1734"/>
      <c r="K8" s="1734"/>
      <c r="L8" s="1733" t="s">
        <v>95</v>
      </c>
      <c r="M8" s="1733"/>
      <c r="N8" s="1733"/>
      <c r="O8" s="1733"/>
      <c r="P8" s="1727"/>
      <c r="Q8" s="1734"/>
      <c r="R8" s="1734"/>
      <c r="S8" s="1733"/>
    </row>
    <row r="9" spans="1:21" s="273" customFormat="1" ht="15.75">
      <c r="A9" s="275" t="s">
        <v>96</v>
      </c>
      <c r="B9" s="276" t="s">
        <v>97</v>
      </c>
      <c r="C9" s="277"/>
      <c r="D9" s="274"/>
      <c r="E9" s="274"/>
      <c r="F9" s="274"/>
      <c r="G9" s="274"/>
      <c r="H9" s="277"/>
      <c r="I9" s="277" t="s">
        <v>78</v>
      </c>
      <c r="J9" s="277" t="s">
        <v>79</v>
      </c>
      <c r="K9" s="277" t="s">
        <v>80</v>
      </c>
      <c r="L9" s="274"/>
      <c r="M9" s="274"/>
      <c r="N9" s="274"/>
      <c r="O9" s="274"/>
      <c r="P9" s="714"/>
      <c r="Q9" s="277"/>
      <c r="R9" s="277"/>
      <c r="S9" s="1733"/>
    </row>
    <row r="10" spans="1:21" s="273" customFormat="1" ht="16.5" thickBot="1">
      <c r="A10" s="278"/>
      <c r="B10" s="279"/>
      <c r="C10" s="721" t="s">
        <v>11</v>
      </c>
      <c r="D10" s="722"/>
      <c r="E10" s="722"/>
      <c r="F10" s="722"/>
      <c r="G10" s="722"/>
      <c r="H10" s="723"/>
      <c r="I10" s="723"/>
      <c r="J10" s="723"/>
      <c r="K10" s="723"/>
      <c r="L10" s="722"/>
      <c r="M10" s="722"/>
      <c r="N10" s="722"/>
      <c r="O10" s="722"/>
      <c r="P10" s="724">
        <f>P15</f>
        <v>11616700</v>
      </c>
      <c r="Q10" s="723"/>
      <c r="R10" s="723"/>
      <c r="S10" s="1733"/>
    </row>
    <row r="11" spans="1:21" s="105" customFormat="1" ht="21" customHeight="1" thickTop="1">
      <c r="A11" s="833"/>
      <c r="B11" s="477"/>
      <c r="C11" s="478" t="s">
        <v>854</v>
      </c>
      <c r="D11" s="208"/>
      <c r="E11" s="208"/>
      <c r="F11" s="208"/>
      <c r="G11" s="477"/>
      <c r="H11" s="477"/>
      <c r="I11" s="477"/>
      <c r="J11" s="477"/>
      <c r="K11" s="477"/>
      <c r="L11" s="208"/>
      <c r="M11" s="477"/>
      <c r="N11" s="208"/>
      <c r="O11" s="477"/>
      <c r="P11" s="715"/>
      <c r="Q11" s="479"/>
      <c r="R11" s="479"/>
      <c r="S11" s="104"/>
      <c r="U11" s="707"/>
    </row>
    <row r="12" spans="1:21" s="39" customFormat="1" ht="21" customHeight="1">
      <c r="A12" s="198"/>
      <c r="B12" s="198"/>
      <c r="C12" s="699" t="s">
        <v>831</v>
      </c>
      <c r="D12" s="54"/>
      <c r="E12" s="54"/>
      <c r="F12" s="54"/>
      <c r="G12" s="54"/>
      <c r="H12" s="54"/>
      <c r="I12" s="54"/>
      <c r="J12" s="54"/>
      <c r="K12" s="54"/>
      <c r="L12" s="481"/>
      <c r="M12" s="482"/>
      <c r="N12" s="481"/>
      <c r="O12" s="482"/>
      <c r="P12" s="716"/>
      <c r="Q12" s="215"/>
      <c r="R12" s="215"/>
      <c r="S12" s="54"/>
      <c r="U12" s="708"/>
    </row>
    <row r="13" spans="1:21" s="569" customFormat="1" ht="19.5" customHeight="1">
      <c r="A13" s="568"/>
      <c r="C13" s="570" t="s">
        <v>842</v>
      </c>
      <c r="D13" s="571"/>
      <c r="E13" s="571"/>
      <c r="F13" s="571"/>
      <c r="G13" s="571"/>
      <c r="H13" s="571"/>
      <c r="I13" s="571"/>
      <c r="J13" s="571"/>
      <c r="K13" s="571"/>
      <c r="L13" s="572"/>
      <c r="M13" s="572"/>
      <c r="N13" s="572"/>
      <c r="O13" s="572"/>
      <c r="P13" s="719"/>
      <c r="Q13" s="571"/>
      <c r="R13" s="574"/>
      <c r="S13" s="571"/>
      <c r="T13" s="575"/>
      <c r="U13" s="709"/>
    </row>
    <row r="14" spans="1:21" s="569" customFormat="1" ht="24.75" customHeight="1">
      <c r="A14" s="568"/>
      <c r="C14" s="576" t="s">
        <v>843</v>
      </c>
      <c r="D14" s="571"/>
      <c r="E14" s="571"/>
      <c r="F14" s="571"/>
      <c r="G14" s="571"/>
      <c r="H14" s="571"/>
      <c r="I14" s="571"/>
      <c r="J14" s="571"/>
      <c r="K14" s="571"/>
      <c r="L14" s="572"/>
      <c r="M14" s="572"/>
      <c r="N14" s="572"/>
      <c r="O14" s="572"/>
      <c r="P14" s="720"/>
      <c r="Q14" s="577"/>
      <c r="R14" s="571"/>
      <c r="S14" s="571"/>
      <c r="T14" s="575"/>
      <c r="U14" s="709"/>
    </row>
    <row r="15" spans="1:21" s="726" customFormat="1" ht="78.75" customHeight="1">
      <c r="A15" s="725"/>
      <c r="B15" s="725"/>
      <c r="C15" s="1748" t="s">
        <v>852</v>
      </c>
      <c r="D15" s="1749"/>
      <c r="E15" s="1749"/>
      <c r="F15" s="1749"/>
      <c r="G15" s="1750"/>
      <c r="H15" s="765"/>
      <c r="I15" s="765"/>
      <c r="J15" s="765"/>
      <c r="K15" s="765"/>
      <c r="L15" s="765"/>
      <c r="M15" s="765"/>
      <c r="N15" s="765"/>
      <c r="O15" s="765"/>
      <c r="P15" s="773">
        <f>P17+P25+P30+P37+P43+P49+P55+P63</f>
        <v>11616700</v>
      </c>
      <c r="Q15" s="730"/>
      <c r="R15" s="730"/>
      <c r="S15" s="730"/>
    </row>
    <row r="16" spans="1:21" s="726" customFormat="1" ht="24.75" customHeight="1">
      <c r="A16" s="725"/>
      <c r="B16" s="725"/>
      <c r="C16" s="727" t="s">
        <v>12</v>
      </c>
      <c r="D16" s="727"/>
      <c r="E16" s="727"/>
      <c r="F16" s="727"/>
      <c r="G16" s="728"/>
      <c r="H16" s="728"/>
      <c r="I16" s="728"/>
      <c r="J16" s="728"/>
      <c r="K16" s="728"/>
      <c r="L16" s="729"/>
      <c r="M16" s="729"/>
      <c r="N16" s="729"/>
      <c r="O16" s="729"/>
      <c r="P16" s="773">
        <f>P17+P25+P29</f>
        <v>11616700</v>
      </c>
      <c r="Q16" s="730"/>
      <c r="R16" s="730"/>
      <c r="S16" s="730"/>
    </row>
    <row r="17" spans="1:20" s="726" customFormat="1" ht="24.75" customHeight="1">
      <c r="A17" s="725"/>
      <c r="B17" s="725"/>
      <c r="C17" s="727" t="s">
        <v>101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31"/>
      <c r="P17" s="774">
        <f>SUM(P18:P24)</f>
        <v>3640000</v>
      </c>
      <c r="Q17" s="733"/>
      <c r="R17" s="733"/>
      <c r="S17" s="734" t="s">
        <v>178</v>
      </c>
      <c r="T17" s="735"/>
    </row>
    <row r="18" spans="1:20" s="726" customFormat="1" ht="24.75" customHeight="1">
      <c r="A18" s="725"/>
      <c r="B18" s="725"/>
      <c r="C18" s="730" t="s">
        <v>467</v>
      </c>
      <c r="D18" s="729"/>
      <c r="E18" s="729"/>
      <c r="F18" s="729"/>
      <c r="G18" s="729"/>
      <c r="H18" s="736" t="s">
        <v>81</v>
      </c>
      <c r="I18" s="737"/>
      <c r="J18" s="738" t="s">
        <v>104</v>
      </c>
      <c r="K18" s="729"/>
      <c r="L18" s="730">
        <v>1</v>
      </c>
      <c r="M18" s="730">
        <v>10</v>
      </c>
      <c r="N18" s="730">
        <v>8</v>
      </c>
      <c r="O18" s="739">
        <v>80000</v>
      </c>
      <c r="P18" s="770">
        <f t="shared" ref="P18:P24" si="0">O18*N18*L18</f>
        <v>640000</v>
      </c>
      <c r="Q18" s="741"/>
      <c r="R18" s="741"/>
      <c r="S18" s="1737" t="s">
        <v>468</v>
      </c>
      <c r="T18" s="742"/>
    </row>
    <row r="19" spans="1:20" s="726" customFormat="1" ht="24.75" customHeight="1">
      <c r="A19" s="725"/>
      <c r="B19" s="725"/>
      <c r="C19" s="730" t="s">
        <v>469</v>
      </c>
      <c r="D19" s="729"/>
      <c r="E19" s="729"/>
      <c r="F19" s="729"/>
      <c r="G19" s="729"/>
      <c r="H19" s="736" t="s">
        <v>81</v>
      </c>
      <c r="I19" s="737"/>
      <c r="J19" s="738" t="s">
        <v>104</v>
      </c>
      <c r="K19" s="729"/>
      <c r="L19" s="730">
        <v>2</v>
      </c>
      <c r="M19" s="730">
        <v>10</v>
      </c>
      <c r="N19" s="730">
        <v>6</v>
      </c>
      <c r="O19" s="739">
        <v>50000</v>
      </c>
      <c r="P19" s="770">
        <f t="shared" si="0"/>
        <v>600000</v>
      </c>
      <c r="Q19" s="741"/>
      <c r="R19" s="741"/>
      <c r="S19" s="1738"/>
    </row>
    <row r="20" spans="1:20" s="726" customFormat="1" ht="24.75" customHeight="1">
      <c r="A20" s="725"/>
      <c r="B20" s="725"/>
      <c r="C20" s="730" t="s">
        <v>470</v>
      </c>
      <c r="D20" s="729"/>
      <c r="E20" s="729"/>
      <c r="F20" s="729"/>
      <c r="G20" s="729"/>
      <c r="H20" s="736" t="s">
        <v>82</v>
      </c>
      <c r="I20" s="737"/>
      <c r="J20" s="738" t="s">
        <v>104</v>
      </c>
      <c r="K20" s="729"/>
      <c r="L20" s="730">
        <v>1</v>
      </c>
      <c r="M20" s="730">
        <v>10</v>
      </c>
      <c r="N20" s="730">
        <v>6</v>
      </c>
      <c r="O20" s="739">
        <v>50000</v>
      </c>
      <c r="P20" s="770">
        <f t="shared" si="0"/>
        <v>300000</v>
      </c>
      <c r="Q20" s="741"/>
      <c r="R20" s="741"/>
      <c r="S20" s="1738"/>
    </row>
    <row r="21" spans="1:20" s="726" customFormat="1" ht="24.75" customHeight="1">
      <c r="A21" s="725"/>
      <c r="B21" s="725"/>
      <c r="C21" s="730" t="s">
        <v>471</v>
      </c>
      <c r="D21" s="729"/>
      <c r="E21" s="729"/>
      <c r="F21" s="729"/>
      <c r="G21" s="729"/>
      <c r="H21" s="736" t="s">
        <v>472</v>
      </c>
      <c r="I21" s="737"/>
      <c r="J21" s="738" t="s">
        <v>104</v>
      </c>
      <c r="K21" s="729"/>
      <c r="L21" s="730">
        <v>1</v>
      </c>
      <c r="M21" s="730">
        <v>10</v>
      </c>
      <c r="N21" s="730">
        <v>6</v>
      </c>
      <c r="O21" s="739">
        <v>50000</v>
      </c>
      <c r="P21" s="770">
        <f t="shared" si="0"/>
        <v>300000</v>
      </c>
      <c r="Q21" s="741"/>
      <c r="R21" s="741"/>
      <c r="S21" s="1738"/>
    </row>
    <row r="22" spans="1:20" s="726" customFormat="1" ht="24.75" customHeight="1">
      <c r="A22" s="725"/>
      <c r="B22" s="725"/>
      <c r="C22" s="730" t="s">
        <v>474</v>
      </c>
      <c r="D22" s="729"/>
      <c r="E22" s="729"/>
      <c r="F22" s="729"/>
      <c r="G22" s="729"/>
      <c r="H22" s="736" t="s">
        <v>81</v>
      </c>
      <c r="I22" s="737"/>
      <c r="J22" s="738" t="s">
        <v>104</v>
      </c>
      <c r="K22" s="729"/>
      <c r="L22" s="730">
        <v>1</v>
      </c>
      <c r="M22" s="730">
        <v>10</v>
      </c>
      <c r="N22" s="730">
        <v>6</v>
      </c>
      <c r="O22" s="739">
        <v>50000</v>
      </c>
      <c r="P22" s="770">
        <f t="shared" si="0"/>
        <v>300000</v>
      </c>
      <c r="Q22" s="741"/>
      <c r="R22" s="741"/>
      <c r="S22" s="1738"/>
    </row>
    <row r="23" spans="1:20" s="726" customFormat="1" ht="24.75" customHeight="1">
      <c r="A23" s="725"/>
      <c r="B23" s="725"/>
      <c r="C23" s="730" t="s">
        <v>475</v>
      </c>
      <c r="D23" s="729"/>
      <c r="E23" s="729"/>
      <c r="F23" s="729"/>
      <c r="G23" s="729"/>
      <c r="H23" s="736" t="s">
        <v>81</v>
      </c>
      <c r="I23" s="737"/>
      <c r="J23" s="738" t="s">
        <v>104</v>
      </c>
      <c r="K23" s="729"/>
      <c r="L23" s="730">
        <v>1</v>
      </c>
      <c r="M23" s="730">
        <v>10</v>
      </c>
      <c r="N23" s="730">
        <v>6</v>
      </c>
      <c r="O23" s="739">
        <v>50000</v>
      </c>
      <c r="P23" s="770">
        <f t="shared" si="0"/>
        <v>300000</v>
      </c>
      <c r="Q23" s="741"/>
      <c r="R23" s="741"/>
      <c r="S23" s="1738" t="s">
        <v>473</v>
      </c>
    </row>
    <row r="24" spans="1:20" s="726" customFormat="1" ht="24.75" customHeight="1">
      <c r="A24" s="725"/>
      <c r="B24" s="725"/>
      <c r="C24" s="730" t="s">
        <v>476</v>
      </c>
      <c r="D24" s="729"/>
      <c r="E24" s="729"/>
      <c r="F24" s="729"/>
      <c r="G24" s="729"/>
      <c r="H24" s="736" t="s">
        <v>81</v>
      </c>
      <c r="I24" s="738" t="s">
        <v>104</v>
      </c>
      <c r="J24" s="729"/>
      <c r="K24" s="729"/>
      <c r="L24" s="730">
        <v>5</v>
      </c>
      <c r="M24" s="730">
        <v>3</v>
      </c>
      <c r="N24" s="730">
        <v>8</v>
      </c>
      <c r="O24" s="739">
        <v>30000</v>
      </c>
      <c r="P24" s="770">
        <f t="shared" si="0"/>
        <v>1200000</v>
      </c>
      <c r="Q24" s="741"/>
      <c r="R24" s="741"/>
      <c r="S24" s="1738"/>
    </row>
    <row r="25" spans="1:20" s="726" customFormat="1" ht="24.75" customHeight="1">
      <c r="A25" s="725"/>
      <c r="B25" s="725"/>
      <c r="C25" s="727" t="s">
        <v>112</v>
      </c>
      <c r="D25" s="728"/>
      <c r="E25" s="728"/>
      <c r="F25" s="728"/>
      <c r="G25" s="728"/>
      <c r="H25" s="728"/>
      <c r="I25" s="728"/>
      <c r="J25" s="728"/>
      <c r="K25" s="728"/>
      <c r="L25" s="743"/>
      <c r="M25" s="743"/>
      <c r="N25" s="743"/>
      <c r="O25" s="744"/>
      <c r="P25" s="774">
        <f>SUM(P26:P28)</f>
        <v>990000</v>
      </c>
      <c r="Q25" s="745"/>
      <c r="R25" s="745"/>
      <c r="S25" s="1738"/>
    </row>
    <row r="26" spans="1:20" s="726" customFormat="1" ht="24.75" customHeight="1">
      <c r="A26" s="725"/>
      <c r="B26" s="725"/>
      <c r="C26" s="746" t="s">
        <v>477</v>
      </c>
      <c r="D26" s="729"/>
      <c r="E26" s="729"/>
      <c r="F26" s="729"/>
      <c r="G26" s="729"/>
      <c r="H26" s="736" t="s">
        <v>114</v>
      </c>
      <c r="I26" s="738" t="s">
        <v>104</v>
      </c>
      <c r="J26" s="729"/>
      <c r="K26" s="729"/>
      <c r="L26" s="730">
        <v>4</v>
      </c>
      <c r="M26" s="747">
        <v>2</v>
      </c>
      <c r="N26" s="730">
        <v>9</v>
      </c>
      <c r="O26" s="739">
        <v>15000</v>
      </c>
      <c r="P26" s="771">
        <f>O26*N26*L26</f>
        <v>540000</v>
      </c>
      <c r="Q26" s="745"/>
      <c r="R26" s="745"/>
      <c r="S26" s="1738"/>
    </row>
    <row r="27" spans="1:20" s="726" customFormat="1" ht="24.75" customHeight="1">
      <c r="A27" s="832"/>
      <c r="B27" s="832"/>
      <c r="C27" s="746" t="s">
        <v>478</v>
      </c>
      <c r="D27" s="729"/>
      <c r="E27" s="729"/>
      <c r="F27" s="729"/>
      <c r="G27" s="729"/>
      <c r="H27" s="736" t="s">
        <v>114</v>
      </c>
      <c r="I27" s="738" t="s">
        <v>104</v>
      </c>
      <c r="J27" s="729"/>
      <c r="K27" s="729"/>
      <c r="L27" s="730">
        <v>2</v>
      </c>
      <c r="M27" s="747">
        <v>3</v>
      </c>
      <c r="N27" s="730">
        <v>9</v>
      </c>
      <c r="O27" s="739">
        <v>15000</v>
      </c>
      <c r="P27" s="771">
        <f>O27*N27*L27</f>
        <v>270000</v>
      </c>
      <c r="Q27" s="745"/>
      <c r="R27" s="745"/>
      <c r="S27" s="1739"/>
    </row>
    <row r="28" spans="1:20" s="726" customFormat="1" ht="24.75" customHeight="1">
      <c r="A28" s="725"/>
      <c r="B28" s="725"/>
      <c r="C28" s="1395" t="s">
        <v>479</v>
      </c>
      <c r="D28" s="1396"/>
      <c r="E28" s="1396"/>
      <c r="F28" s="1396"/>
      <c r="G28" s="1396"/>
      <c r="H28" s="1397" t="s">
        <v>480</v>
      </c>
      <c r="I28" s="1398" t="s">
        <v>104</v>
      </c>
      <c r="J28" s="1396"/>
      <c r="K28" s="1396"/>
      <c r="L28" s="832">
        <v>1</v>
      </c>
      <c r="M28" s="1399">
        <v>3</v>
      </c>
      <c r="N28" s="832">
        <v>9</v>
      </c>
      <c r="O28" s="1400">
        <v>20000</v>
      </c>
      <c r="P28" s="1401">
        <f>O28*N28*L28</f>
        <v>180000</v>
      </c>
      <c r="Q28" s="1402"/>
      <c r="R28" s="1402"/>
      <c r="S28" s="1715" t="s">
        <v>816</v>
      </c>
    </row>
    <row r="29" spans="1:20" s="726" customFormat="1" ht="24.75" customHeight="1">
      <c r="A29" s="725"/>
      <c r="B29" s="725"/>
      <c r="C29" s="1721" t="s">
        <v>188</v>
      </c>
      <c r="D29" s="1721"/>
      <c r="E29" s="1721"/>
      <c r="F29" s="1721"/>
      <c r="G29" s="1721"/>
      <c r="H29" s="1721"/>
      <c r="I29" s="1721"/>
      <c r="J29" s="1721"/>
      <c r="K29" s="1721"/>
      <c r="L29" s="1721"/>
      <c r="M29" s="1721"/>
      <c r="N29" s="1721"/>
      <c r="O29" s="1721"/>
      <c r="P29" s="1390">
        <f>P30+P37+P43+P49+P55+P63</f>
        <v>6986700</v>
      </c>
      <c r="Q29" s="749"/>
      <c r="R29" s="749"/>
      <c r="S29" s="1715"/>
    </row>
    <row r="30" spans="1:20" s="726" customFormat="1" ht="44.25" customHeight="1">
      <c r="A30" s="725"/>
      <c r="B30" s="725"/>
      <c r="C30" s="1710" t="s">
        <v>526</v>
      </c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775">
        <f>SUM(P31:P36)</f>
        <v>1075200</v>
      </c>
      <c r="Q30" s="751"/>
      <c r="R30" s="751"/>
      <c r="S30" s="1715"/>
    </row>
    <row r="31" spans="1:20" s="726" customFormat="1" ht="24.75" customHeight="1">
      <c r="A31" s="725"/>
      <c r="B31" s="725"/>
      <c r="C31" s="1393" t="s">
        <v>527</v>
      </c>
      <c r="D31" s="729"/>
      <c r="E31" s="729"/>
      <c r="F31" s="729"/>
      <c r="G31" s="729"/>
      <c r="H31" s="736"/>
      <c r="I31" s="738"/>
      <c r="J31" s="729"/>
      <c r="K31" s="729"/>
      <c r="L31" s="730">
        <v>480</v>
      </c>
      <c r="M31" s="753" t="s">
        <v>484</v>
      </c>
      <c r="N31" s="730"/>
      <c r="O31" s="739">
        <v>240</v>
      </c>
      <c r="P31" s="771">
        <f>L31*O31</f>
        <v>115200</v>
      </c>
      <c r="Q31" s="741"/>
      <c r="R31" s="741"/>
      <c r="S31" s="1715"/>
    </row>
    <row r="32" spans="1:20" s="726" customFormat="1" ht="24.75" customHeight="1">
      <c r="A32" s="725"/>
      <c r="B32" s="725"/>
      <c r="C32" s="1393" t="s">
        <v>528</v>
      </c>
      <c r="D32" s="729"/>
      <c r="E32" s="729"/>
      <c r="F32" s="729"/>
      <c r="G32" s="729"/>
      <c r="H32" s="736"/>
      <c r="I32" s="738"/>
      <c r="J32" s="729"/>
      <c r="K32" s="729"/>
      <c r="L32" s="730">
        <v>240</v>
      </c>
      <c r="M32" s="753" t="s">
        <v>487</v>
      </c>
      <c r="N32" s="730"/>
      <c r="O32" s="739">
        <v>2500</v>
      </c>
      <c r="P32" s="771">
        <f>L32*O32</f>
        <v>600000</v>
      </c>
      <c r="Q32" s="741"/>
      <c r="R32" s="741"/>
      <c r="S32" s="1715"/>
    </row>
    <row r="33" spans="1:19" s="726" customFormat="1" ht="24.75" customHeight="1">
      <c r="A33" s="725"/>
      <c r="B33" s="725"/>
      <c r="C33" s="1393" t="s">
        <v>529</v>
      </c>
      <c r="D33" s="729"/>
      <c r="E33" s="729"/>
      <c r="F33" s="729"/>
      <c r="G33" s="729"/>
      <c r="H33" s="736"/>
      <c r="I33" s="738"/>
      <c r="J33" s="729"/>
      <c r="K33" s="729"/>
      <c r="L33" s="730">
        <v>120</v>
      </c>
      <c r="M33" s="753" t="s">
        <v>489</v>
      </c>
      <c r="N33" s="730"/>
      <c r="O33" s="739">
        <v>250</v>
      </c>
      <c r="P33" s="771">
        <f>L33*O33</f>
        <v>30000</v>
      </c>
      <c r="Q33" s="741"/>
      <c r="R33" s="741"/>
      <c r="S33" s="1715"/>
    </row>
    <row r="34" spans="1:19" s="726" customFormat="1" ht="24.75" customHeight="1">
      <c r="A34" s="725"/>
      <c r="B34" s="725"/>
      <c r="C34" s="1394" t="s">
        <v>490</v>
      </c>
      <c r="D34" s="756"/>
      <c r="E34" s="756"/>
      <c r="F34" s="756"/>
      <c r="G34" s="756"/>
      <c r="H34" s="757"/>
      <c r="I34" s="758"/>
      <c r="J34" s="756"/>
      <c r="K34" s="756"/>
      <c r="L34" s="756"/>
      <c r="M34" s="759"/>
      <c r="N34" s="756"/>
      <c r="O34" s="760"/>
      <c r="P34" s="770"/>
      <c r="Q34" s="741"/>
      <c r="R34" s="741"/>
      <c r="S34" s="1715"/>
    </row>
    <row r="35" spans="1:19" s="726" customFormat="1" ht="24.75" customHeight="1">
      <c r="A35" s="725"/>
      <c r="B35" s="725"/>
      <c r="C35" s="1393" t="s">
        <v>530</v>
      </c>
      <c r="D35" s="729"/>
      <c r="E35" s="729"/>
      <c r="F35" s="729"/>
      <c r="G35" s="729"/>
      <c r="H35" s="736"/>
      <c r="I35" s="738"/>
      <c r="J35" s="729"/>
      <c r="K35" s="729"/>
      <c r="L35" s="730">
        <v>20</v>
      </c>
      <c r="M35" s="753" t="s">
        <v>492</v>
      </c>
      <c r="N35" s="730"/>
      <c r="O35" s="739">
        <v>15000</v>
      </c>
      <c r="P35" s="771">
        <f>L35*O35</f>
        <v>300000</v>
      </c>
      <c r="Q35" s="741"/>
      <c r="R35" s="741"/>
      <c r="S35" s="834" t="s">
        <v>187</v>
      </c>
    </row>
    <row r="36" spans="1:19" s="726" customFormat="1" ht="24.75" customHeight="1">
      <c r="A36" s="725"/>
      <c r="B36" s="725"/>
      <c r="C36" s="1393" t="s">
        <v>493</v>
      </c>
      <c r="D36" s="729"/>
      <c r="E36" s="729"/>
      <c r="F36" s="729"/>
      <c r="G36" s="729"/>
      <c r="H36" s="736"/>
      <c r="I36" s="738"/>
      <c r="J36" s="729"/>
      <c r="K36" s="729"/>
      <c r="L36" s="730">
        <v>1</v>
      </c>
      <c r="M36" s="753" t="s">
        <v>492</v>
      </c>
      <c r="N36" s="730"/>
      <c r="O36" s="739">
        <v>30000</v>
      </c>
      <c r="P36" s="771">
        <f>L36*O36</f>
        <v>30000</v>
      </c>
      <c r="Q36" s="741"/>
      <c r="R36" s="741"/>
      <c r="S36" s="1736" t="s">
        <v>861</v>
      </c>
    </row>
    <row r="37" spans="1:19" s="726" customFormat="1" ht="40.5" customHeight="1">
      <c r="A37" s="725"/>
      <c r="B37" s="725"/>
      <c r="C37" s="1725" t="s">
        <v>531</v>
      </c>
      <c r="D37" s="1725"/>
      <c r="E37" s="1725"/>
      <c r="F37" s="1725"/>
      <c r="G37" s="1725"/>
      <c r="H37" s="1725"/>
      <c r="I37" s="1725"/>
      <c r="J37" s="1725"/>
      <c r="K37" s="1725"/>
      <c r="L37" s="1725"/>
      <c r="M37" s="1725"/>
      <c r="N37" s="1725"/>
      <c r="O37" s="1726"/>
      <c r="P37" s="776">
        <f>SUM(P38:P42)</f>
        <v>4767600</v>
      </c>
      <c r="Q37" s="741"/>
      <c r="R37" s="741"/>
      <c r="S37" s="1736"/>
    </row>
    <row r="38" spans="1:19" s="726" customFormat="1" ht="24.75" customHeight="1">
      <c r="A38" s="725"/>
      <c r="B38" s="725"/>
      <c r="C38" s="1393" t="s">
        <v>532</v>
      </c>
      <c r="D38" s="729"/>
      <c r="E38" s="729"/>
      <c r="F38" s="729"/>
      <c r="G38" s="729"/>
      <c r="H38" s="736"/>
      <c r="I38" s="738"/>
      <c r="J38" s="729"/>
      <c r="K38" s="729"/>
      <c r="L38" s="1504">
        <v>1440</v>
      </c>
      <c r="M38" s="753" t="s">
        <v>484</v>
      </c>
      <c r="N38" s="730"/>
      <c r="O38" s="739">
        <v>240</v>
      </c>
      <c r="P38" s="771">
        <f>L38*O38</f>
        <v>345600</v>
      </c>
      <c r="Q38" s="741"/>
      <c r="R38" s="741"/>
      <c r="S38" s="1736"/>
    </row>
    <row r="39" spans="1:19" s="726" customFormat="1" ht="24.75" customHeight="1">
      <c r="A39" s="725"/>
      <c r="B39" s="725"/>
      <c r="C39" s="1393" t="s">
        <v>533</v>
      </c>
      <c r="D39" s="729"/>
      <c r="E39" s="729"/>
      <c r="F39" s="729"/>
      <c r="G39" s="729"/>
      <c r="H39" s="736"/>
      <c r="I39" s="738"/>
      <c r="J39" s="729"/>
      <c r="K39" s="729"/>
      <c r="L39" s="730">
        <v>720</v>
      </c>
      <c r="M39" s="753" t="s">
        <v>487</v>
      </c>
      <c r="N39" s="730"/>
      <c r="O39" s="739">
        <v>2500</v>
      </c>
      <c r="P39" s="771">
        <f>L39*O39</f>
        <v>1800000</v>
      </c>
      <c r="Q39" s="741"/>
      <c r="R39" s="741"/>
      <c r="S39" s="1736"/>
    </row>
    <row r="40" spans="1:19" s="726" customFormat="1" ht="24.75" customHeight="1">
      <c r="A40" s="725"/>
      <c r="B40" s="725"/>
      <c r="C40" s="752" t="s">
        <v>534</v>
      </c>
      <c r="D40" s="729"/>
      <c r="E40" s="729"/>
      <c r="F40" s="729"/>
      <c r="G40" s="729"/>
      <c r="H40" s="736"/>
      <c r="I40" s="738"/>
      <c r="J40" s="729"/>
      <c r="K40" s="729"/>
      <c r="L40" s="730">
        <v>960</v>
      </c>
      <c r="M40" s="753" t="s">
        <v>535</v>
      </c>
      <c r="N40" s="730"/>
      <c r="O40" s="739">
        <v>1200</v>
      </c>
      <c r="P40" s="771">
        <f>L40*O40</f>
        <v>1152000</v>
      </c>
      <c r="Q40" s="741"/>
      <c r="R40" s="741"/>
      <c r="S40" s="1736"/>
    </row>
    <row r="41" spans="1:19" s="726" customFormat="1" ht="24.75" customHeight="1">
      <c r="A41" s="725"/>
      <c r="B41" s="725"/>
      <c r="C41" s="752" t="s">
        <v>536</v>
      </c>
      <c r="D41" s="729"/>
      <c r="E41" s="729"/>
      <c r="F41" s="729"/>
      <c r="G41" s="729"/>
      <c r="H41" s="736"/>
      <c r="I41" s="738"/>
      <c r="J41" s="729"/>
      <c r="K41" s="729"/>
      <c r="L41" s="730">
        <v>720</v>
      </c>
      <c r="M41" s="753" t="s">
        <v>484</v>
      </c>
      <c r="N41" s="730"/>
      <c r="O41" s="739">
        <v>2000</v>
      </c>
      <c r="P41" s="771">
        <f>L41*O41</f>
        <v>1440000</v>
      </c>
      <c r="Q41" s="741"/>
      <c r="R41" s="741"/>
      <c r="S41" s="1735" t="s">
        <v>862</v>
      </c>
    </row>
    <row r="42" spans="1:19" s="726" customFormat="1" ht="24.75" customHeight="1">
      <c r="A42" s="725"/>
      <c r="B42" s="725"/>
      <c r="C42" s="752" t="s">
        <v>529</v>
      </c>
      <c r="D42" s="729"/>
      <c r="E42" s="729"/>
      <c r="F42" s="729"/>
      <c r="G42" s="729"/>
      <c r="H42" s="736"/>
      <c r="I42" s="738"/>
      <c r="J42" s="729"/>
      <c r="K42" s="729"/>
      <c r="L42" s="730">
        <v>120</v>
      </c>
      <c r="M42" s="753" t="s">
        <v>19</v>
      </c>
      <c r="N42" s="730"/>
      <c r="O42" s="739">
        <v>250</v>
      </c>
      <c r="P42" s="771">
        <f>L42*O42</f>
        <v>30000</v>
      </c>
      <c r="Q42" s="741"/>
      <c r="R42" s="741"/>
      <c r="S42" s="1735"/>
    </row>
    <row r="43" spans="1:19" s="726" customFormat="1" ht="24.75" customHeight="1">
      <c r="A43" s="725"/>
      <c r="B43" s="725"/>
      <c r="C43" s="762" t="s">
        <v>500</v>
      </c>
      <c r="D43" s="756"/>
      <c r="E43" s="756"/>
      <c r="F43" s="756"/>
      <c r="G43" s="756"/>
      <c r="H43" s="757"/>
      <c r="I43" s="758"/>
      <c r="J43" s="756"/>
      <c r="K43" s="756"/>
      <c r="L43" s="756"/>
      <c r="M43" s="759"/>
      <c r="N43" s="756"/>
      <c r="O43" s="760"/>
      <c r="P43" s="776">
        <f>SUM(P44:P48)</f>
        <v>284800</v>
      </c>
      <c r="Q43" s="741"/>
      <c r="R43" s="741"/>
      <c r="S43" s="1735"/>
    </row>
    <row r="44" spans="1:19" s="726" customFormat="1" ht="24.75" customHeight="1">
      <c r="A44" s="725"/>
      <c r="B44" s="725"/>
      <c r="C44" s="752" t="s">
        <v>537</v>
      </c>
      <c r="D44" s="729"/>
      <c r="E44" s="729"/>
      <c r="F44" s="729"/>
      <c r="G44" s="729"/>
      <c r="H44" s="736"/>
      <c r="I44" s="738"/>
      <c r="J44" s="729"/>
      <c r="K44" s="729"/>
      <c r="L44" s="730">
        <v>120</v>
      </c>
      <c r="M44" s="753" t="s">
        <v>17</v>
      </c>
      <c r="N44" s="730"/>
      <c r="O44" s="739">
        <v>240</v>
      </c>
      <c r="P44" s="771">
        <f>L44*O44</f>
        <v>28800</v>
      </c>
      <c r="Q44" s="741"/>
      <c r="R44" s="741"/>
      <c r="S44" s="1735"/>
    </row>
    <row r="45" spans="1:19" s="726" customFormat="1" ht="24.75" customHeight="1">
      <c r="A45" s="725"/>
      <c r="B45" s="725"/>
      <c r="C45" s="752" t="s">
        <v>538</v>
      </c>
      <c r="D45" s="729"/>
      <c r="E45" s="729"/>
      <c r="F45" s="729"/>
      <c r="G45" s="729"/>
      <c r="H45" s="736"/>
      <c r="I45" s="738"/>
      <c r="J45" s="729"/>
      <c r="K45" s="729"/>
      <c r="L45" s="730">
        <v>60</v>
      </c>
      <c r="M45" s="753" t="s">
        <v>385</v>
      </c>
      <c r="N45" s="730"/>
      <c r="O45" s="739">
        <v>2500</v>
      </c>
      <c r="P45" s="771">
        <f>L45*O45</f>
        <v>150000</v>
      </c>
      <c r="Q45" s="741"/>
      <c r="R45" s="741"/>
      <c r="S45" s="1735"/>
    </row>
    <row r="46" spans="1:19" s="726" customFormat="1" ht="24.75" customHeight="1">
      <c r="A46" s="725"/>
      <c r="B46" s="725"/>
      <c r="C46" s="752" t="s">
        <v>539</v>
      </c>
      <c r="D46" s="729"/>
      <c r="E46" s="729"/>
      <c r="F46" s="729"/>
      <c r="G46" s="729"/>
      <c r="H46" s="736"/>
      <c r="I46" s="738"/>
      <c r="J46" s="729"/>
      <c r="K46" s="729"/>
      <c r="L46" s="730">
        <v>80</v>
      </c>
      <c r="M46" s="753" t="s">
        <v>540</v>
      </c>
      <c r="N46" s="730"/>
      <c r="O46" s="739">
        <v>1200</v>
      </c>
      <c r="P46" s="771">
        <f t="shared" ref="P46:P70" si="1">L46*O46</f>
        <v>96000</v>
      </c>
      <c r="Q46" s="741"/>
      <c r="R46" s="741"/>
      <c r="S46" s="1735"/>
    </row>
    <row r="47" spans="1:19" s="726" customFormat="1" ht="24.75" customHeight="1">
      <c r="A47" s="725"/>
      <c r="B47" s="725"/>
      <c r="C47" s="752" t="s">
        <v>504</v>
      </c>
      <c r="D47" s="729"/>
      <c r="E47" s="729"/>
      <c r="F47" s="729"/>
      <c r="G47" s="729"/>
      <c r="H47" s="736"/>
      <c r="I47" s="738"/>
      <c r="J47" s="729"/>
      <c r="K47" s="729"/>
      <c r="L47" s="730">
        <v>20</v>
      </c>
      <c r="M47" s="753" t="s">
        <v>19</v>
      </c>
      <c r="N47" s="730"/>
      <c r="O47" s="739">
        <v>250</v>
      </c>
      <c r="P47" s="771">
        <f>L47*O47</f>
        <v>5000</v>
      </c>
      <c r="Q47" s="741"/>
      <c r="R47" s="741"/>
      <c r="S47" s="1735"/>
    </row>
    <row r="48" spans="1:19" s="726" customFormat="1" ht="24.75" customHeight="1">
      <c r="A48" s="832"/>
      <c r="B48" s="832"/>
      <c r="C48" s="752" t="s">
        <v>505</v>
      </c>
      <c r="D48" s="729"/>
      <c r="E48" s="729"/>
      <c r="F48" s="729"/>
      <c r="G48" s="729"/>
      <c r="H48" s="736"/>
      <c r="I48" s="738"/>
      <c r="J48" s="729"/>
      <c r="K48" s="729"/>
      <c r="L48" s="730">
        <v>1</v>
      </c>
      <c r="M48" s="753" t="s">
        <v>508</v>
      </c>
      <c r="N48" s="730"/>
      <c r="O48" s="739">
        <v>5000</v>
      </c>
      <c r="P48" s="771">
        <f>L48*O48</f>
        <v>5000</v>
      </c>
      <c r="Q48" s="741"/>
      <c r="R48" s="741"/>
      <c r="S48" s="1735"/>
    </row>
    <row r="49" spans="1:19" s="726" customFormat="1" ht="44.25" customHeight="1">
      <c r="A49" s="725"/>
      <c r="B49" s="725"/>
      <c r="C49" s="1740" t="s">
        <v>851</v>
      </c>
      <c r="D49" s="1741"/>
      <c r="E49" s="1741"/>
      <c r="F49" s="1741"/>
      <c r="G49" s="1741"/>
      <c r="H49" s="1741"/>
      <c r="I49" s="1741"/>
      <c r="J49" s="1741"/>
      <c r="K49" s="1741"/>
      <c r="L49" s="1741"/>
      <c r="M49" s="1741"/>
      <c r="N49" s="1741"/>
      <c r="O49" s="1741"/>
      <c r="P49" s="1403">
        <f>SUM(P50:P54)</f>
        <v>347200</v>
      </c>
      <c r="Q49" s="1402"/>
      <c r="R49" s="1402"/>
      <c r="S49" s="1716" t="s">
        <v>863</v>
      </c>
    </row>
    <row r="50" spans="1:19" s="726" customFormat="1" ht="24.75" customHeight="1">
      <c r="A50" s="725"/>
      <c r="B50" s="725"/>
      <c r="C50" s="763" t="s">
        <v>541</v>
      </c>
      <c r="D50" s="729"/>
      <c r="E50" s="729"/>
      <c r="F50" s="729"/>
      <c r="G50" s="729"/>
      <c r="H50" s="736"/>
      <c r="I50" s="738"/>
      <c r="J50" s="729"/>
      <c r="K50" s="729"/>
      <c r="L50" s="730">
        <v>180</v>
      </c>
      <c r="M50" s="753" t="s">
        <v>17</v>
      </c>
      <c r="N50" s="730"/>
      <c r="O50" s="739">
        <v>240</v>
      </c>
      <c r="P50" s="771">
        <f>L50*O50</f>
        <v>43200</v>
      </c>
      <c r="Q50" s="741"/>
      <c r="R50" s="741"/>
      <c r="S50" s="1736"/>
    </row>
    <row r="51" spans="1:19" s="726" customFormat="1" ht="24.75" customHeight="1">
      <c r="A51" s="725"/>
      <c r="B51" s="725"/>
      <c r="C51" s="763" t="s">
        <v>538</v>
      </c>
      <c r="D51" s="729"/>
      <c r="E51" s="729"/>
      <c r="F51" s="729"/>
      <c r="G51" s="729"/>
      <c r="H51" s="736"/>
      <c r="I51" s="738"/>
      <c r="J51" s="729"/>
      <c r="K51" s="729"/>
      <c r="L51" s="730">
        <v>60</v>
      </c>
      <c r="M51" s="753" t="s">
        <v>385</v>
      </c>
      <c r="N51" s="730"/>
      <c r="O51" s="739">
        <v>2500</v>
      </c>
      <c r="P51" s="771">
        <f>L51*O51</f>
        <v>150000</v>
      </c>
      <c r="Q51" s="741"/>
      <c r="R51" s="741"/>
      <c r="S51" s="1736"/>
    </row>
    <row r="52" spans="1:19" s="726" customFormat="1" ht="24.75" customHeight="1">
      <c r="A52" s="725"/>
      <c r="B52" s="725"/>
      <c r="C52" s="763" t="s">
        <v>542</v>
      </c>
      <c r="D52" s="729"/>
      <c r="E52" s="729"/>
      <c r="F52" s="729"/>
      <c r="G52" s="729"/>
      <c r="H52" s="736"/>
      <c r="I52" s="738"/>
      <c r="J52" s="729"/>
      <c r="K52" s="729"/>
      <c r="L52" s="730">
        <v>120</v>
      </c>
      <c r="M52" s="753" t="s">
        <v>540</v>
      </c>
      <c r="N52" s="730"/>
      <c r="O52" s="739">
        <v>1200</v>
      </c>
      <c r="P52" s="771">
        <f t="shared" si="1"/>
        <v>144000</v>
      </c>
      <c r="Q52" s="741"/>
      <c r="R52" s="741"/>
      <c r="S52" s="1736"/>
    </row>
    <row r="53" spans="1:19" s="726" customFormat="1" ht="24.75" customHeight="1">
      <c r="A53" s="725"/>
      <c r="B53" s="725"/>
      <c r="C53" s="763" t="s">
        <v>504</v>
      </c>
      <c r="D53" s="729"/>
      <c r="E53" s="729"/>
      <c r="F53" s="729"/>
      <c r="G53" s="729"/>
      <c r="H53" s="736"/>
      <c r="I53" s="738"/>
      <c r="J53" s="729"/>
      <c r="K53" s="729"/>
      <c r="L53" s="730">
        <v>20</v>
      </c>
      <c r="M53" s="753" t="s">
        <v>19</v>
      </c>
      <c r="N53" s="730"/>
      <c r="O53" s="739">
        <v>250</v>
      </c>
      <c r="P53" s="771">
        <f>L53*O53</f>
        <v>5000</v>
      </c>
      <c r="Q53" s="741"/>
      <c r="R53" s="741"/>
      <c r="S53" s="1736"/>
    </row>
    <row r="54" spans="1:19" s="726" customFormat="1" ht="24.75" customHeight="1">
      <c r="A54" s="725"/>
      <c r="B54" s="725"/>
      <c r="C54" s="763" t="s">
        <v>505</v>
      </c>
      <c r="D54" s="729"/>
      <c r="E54" s="729"/>
      <c r="F54" s="729"/>
      <c r="G54" s="729"/>
      <c r="H54" s="736"/>
      <c r="I54" s="738"/>
      <c r="J54" s="729"/>
      <c r="K54" s="729"/>
      <c r="L54" s="730">
        <v>1</v>
      </c>
      <c r="M54" s="753" t="s">
        <v>508</v>
      </c>
      <c r="N54" s="730"/>
      <c r="O54" s="739">
        <v>5000</v>
      </c>
      <c r="P54" s="771">
        <f>L54*O54</f>
        <v>5000</v>
      </c>
      <c r="Q54" s="741"/>
      <c r="R54" s="741"/>
      <c r="S54" s="1736"/>
    </row>
    <row r="55" spans="1:19" s="726" customFormat="1" ht="39.75" customHeight="1">
      <c r="A55" s="725"/>
      <c r="B55" s="725"/>
      <c r="C55" s="1709" t="s">
        <v>543</v>
      </c>
      <c r="D55" s="1710"/>
      <c r="E55" s="1710"/>
      <c r="F55" s="1710"/>
      <c r="G55" s="1710"/>
      <c r="H55" s="1710"/>
      <c r="I55" s="1710"/>
      <c r="J55" s="1710"/>
      <c r="K55" s="1710"/>
      <c r="L55" s="1710"/>
      <c r="M55" s="1710"/>
      <c r="N55" s="1710"/>
      <c r="O55" s="1710"/>
      <c r="P55" s="775">
        <f>SUM(P56:P62)</f>
        <v>496600</v>
      </c>
      <c r="Q55" s="751"/>
      <c r="R55" s="751"/>
      <c r="S55" s="1736"/>
    </row>
    <row r="56" spans="1:19" s="726" customFormat="1" ht="24.75" customHeight="1">
      <c r="A56" s="725"/>
      <c r="B56" s="725"/>
      <c r="C56" s="763" t="s">
        <v>510</v>
      </c>
      <c r="D56" s="729"/>
      <c r="E56" s="729"/>
      <c r="F56" s="729"/>
      <c r="G56" s="729"/>
      <c r="H56" s="736"/>
      <c r="I56" s="738"/>
      <c r="J56" s="729"/>
      <c r="K56" s="729"/>
      <c r="L56" s="730">
        <v>1</v>
      </c>
      <c r="M56" s="753" t="s">
        <v>432</v>
      </c>
      <c r="N56" s="730"/>
      <c r="O56" s="739">
        <v>200000</v>
      </c>
      <c r="P56" s="771">
        <f t="shared" ref="P56:P62" si="2">L56*O56</f>
        <v>200000</v>
      </c>
      <c r="Q56" s="741"/>
      <c r="R56" s="741"/>
      <c r="S56" s="730"/>
    </row>
    <row r="57" spans="1:19" s="726" customFormat="1" ht="24.75" customHeight="1">
      <c r="A57" s="725"/>
      <c r="B57" s="725"/>
      <c r="C57" s="763" t="s">
        <v>511</v>
      </c>
      <c r="D57" s="729"/>
      <c r="E57" s="729"/>
      <c r="F57" s="729"/>
      <c r="G57" s="729"/>
      <c r="H57" s="736"/>
      <c r="I57" s="738"/>
      <c r="J57" s="729"/>
      <c r="K57" s="729"/>
      <c r="L57" s="730">
        <v>1</v>
      </c>
      <c r="M57" s="753" t="s">
        <v>432</v>
      </c>
      <c r="N57" s="730"/>
      <c r="O57" s="739">
        <v>20000</v>
      </c>
      <c r="P57" s="771">
        <f t="shared" si="2"/>
        <v>20000</v>
      </c>
      <c r="Q57" s="741"/>
      <c r="R57" s="741"/>
      <c r="S57" s="730"/>
    </row>
    <row r="58" spans="1:19" s="726" customFormat="1" ht="24.75" customHeight="1">
      <c r="A58" s="725"/>
      <c r="B58" s="725"/>
      <c r="C58" s="763" t="s">
        <v>544</v>
      </c>
      <c r="D58" s="729"/>
      <c r="E58" s="729"/>
      <c r="F58" s="729"/>
      <c r="G58" s="729"/>
      <c r="H58" s="736"/>
      <c r="I58" s="738"/>
      <c r="J58" s="729"/>
      <c r="K58" s="729"/>
      <c r="L58" s="730">
        <v>300</v>
      </c>
      <c r="M58" s="753" t="s">
        <v>19</v>
      </c>
      <c r="N58" s="730"/>
      <c r="O58" s="739">
        <v>200</v>
      </c>
      <c r="P58" s="771">
        <f t="shared" si="2"/>
        <v>60000</v>
      </c>
      <c r="Q58" s="741"/>
      <c r="R58" s="741"/>
      <c r="S58" s="730"/>
    </row>
    <row r="59" spans="1:19" s="726" customFormat="1" ht="24.75" customHeight="1">
      <c r="A59" s="725"/>
      <c r="B59" s="725"/>
      <c r="C59" s="763" t="s">
        <v>513</v>
      </c>
      <c r="D59" s="729"/>
      <c r="E59" s="729"/>
      <c r="F59" s="729"/>
      <c r="G59" s="729"/>
      <c r="H59" s="736"/>
      <c r="I59" s="738"/>
      <c r="J59" s="729"/>
      <c r="K59" s="729"/>
      <c r="L59" s="730">
        <v>600</v>
      </c>
      <c r="M59" s="753" t="s">
        <v>514</v>
      </c>
      <c r="N59" s="730"/>
      <c r="O59" s="739">
        <v>50</v>
      </c>
      <c r="P59" s="771">
        <f t="shared" si="2"/>
        <v>30000</v>
      </c>
      <c r="Q59" s="741"/>
      <c r="R59" s="741"/>
      <c r="S59" s="730"/>
    </row>
    <row r="60" spans="1:19" s="726" customFormat="1" ht="24.75" customHeight="1">
      <c r="A60" s="725"/>
      <c r="B60" s="725"/>
      <c r="C60" s="763" t="s">
        <v>545</v>
      </c>
      <c r="D60" s="729"/>
      <c r="E60" s="729"/>
      <c r="F60" s="729"/>
      <c r="G60" s="729"/>
      <c r="H60" s="736"/>
      <c r="I60" s="738"/>
      <c r="J60" s="729"/>
      <c r="K60" s="729"/>
      <c r="L60" s="730">
        <v>300</v>
      </c>
      <c r="M60" s="753" t="s">
        <v>361</v>
      </c>
      <c r="N60" s="730"/>
      <c r="O60" s="739">
        <v>550</v>
      </c>
      <c r="P60" s="771">
        <f t="shared" si="2"/>
        <v>165000</v>
      </c>
      <c r="Q60" s="741"/>
      <c r="R60" s="741"/>
      <c r="S60" s="730"/>
    </row>
    <row r="61" spans="1:19" s="726" customFormat="1" ht="24.75" customHeight="1">
      <c r="A61" s="725"/>
      <c r="B61" s="725"/>
      <c r="C61" s="763" t="s">
        <v>516</v>
      </c>
      <c r="D61" s="729"/>
      <c r="E61" s="729"/>
      <c r="F61" s="729"/>
      <c r="G61" s="729"/>
      <c r="H61" s="736"/>
      <c r="I61" s="738"/>
      <c r="J61" s="729"/>
      <c r="K61" s="729"/>
      <c r="L61" s="730">
        <v>12</v>
      </c>
      <c r="M61" s="753" t="s">
        <v>517</v>
      </c>
      <c r="N61" s="730"/>
      <c r="O61" s="739">
        <v>1600</v>
      </c>
      <c r="P61" s="771">
        <f t="shared" si="2"/>
        <v>19200</v>
      </c>
      <c r="Q61" s="741"/>
      <c r="R61" s="741"/>
      <c r="S61" s="730"/>
    </row>
    <row r="62" spans="1:19" s="726" customFormat="1" ht="24.75" customHeight="1">
      <c r="A62" s="725"/>
      <c r="B62" s="725"/>
      <c r="C62" s="763" t="s">
        <v>546</v>
      </c>
      <c r="D62" s="729"/>
      <c r="E62" s="729"/>
      <c r="F62" s="729"/>
      <c r="G62" s="729"/>
      <c r="H62" s="736"/>
      <c r="I62" s="738"/>
      <c r="J62" s="729"/>
      <c r="K62" s="729"/>
      <c r="L62" s="730">
        <v>10</v>
      </c>
      <c r="M62" s="753" t="s">
        <v>361</v>
      </c>
      <c r="N62" s="730"/>
      <c r="O62" s="739">
        <v>240</v>
      </c>
      <c r="P62" s="771">
        <f t="shared" si="2"/>
        <v>2400</v>
      </c>
      <c r="Q62" s="741"/>
      <c r="R62" s="741"/>
      <c r="S62" s="730"/>
    </row>
    <row r="63" spans="1:19" s="726" customFormat="1" ht="24.75" customHeight="1">
      <c r="A63" s="725"/>
      <c r="B63" s="725"/>
      <c r="C63" s="1392" t="s">
        <v>161</v>
      </c>
      <c r="D63" s="756"/>
      <c r="E63" s="756"/>
      <c r="F63" s="756"/>
      <c r="G63" s="756"/>
      <c r="H63" s="757"/>
      <c r="I63" s="758"/>
      <c r="J63" s="756"/>
      <c r="K63" s="756"/>
      <c r="L63" s="756"/>
      <c r="M63" s="759"/>
      <c r="N63" s="756"/>
      <c r="O63" s="760"/>
      <c r="P63" s="776">
        <f>SUM(P64:P70)</f>
        <v>15300</v>
      </c>
      <c r="Q63" s="741"/>
      <c r="R63" s="741"/>
      <c r="S63" s="730"/>
    </row>
    <row r="64" spans="1:19" s="726" customFormat="1" ht="24.75" customHeight="1">
      <c r="A64" s="725"/>
      <c r="B64" s="725"/>
      <c r="C64" s="1391" t="s">
        <v>519</v>
      </c>
      <c r="D64" s="729"/>
      <c r="E64" s="729"/>
      <c r="F64" s="729"/>
      <c r="G64" s="729"/>
      <c r="H64" s="736"/>
      <c r="I64" s="738"/>
      <c r="J64" s="729"/>
      <c r="K64" s="729"/>
      <c r="L64" s="730">
        <v>12</v>
      </c>
      <c r="M64" s="753" t="s">
        <v>19</v>
      </c>
      <c r="N64" s="730"/>
      <c r="O64" s="739">
        <v>215</v>
      </c>
      <c r="P64" s="771">
        <f>L64*O64</f>
        <v>2580</v>
      </c>
      <c r="Q64" s="741"/>
      <c r="R64" s="741"/>
      <c r="S64" s="730"/>
    </row>
    <row r="65" spans="1:19" s="726" customFormat="1" ht="24.75" customHeight="1">
      <c r="A65" s="725"/>
      <c r="B65" s="725"/>
      <c r="C65" s="1391" t="s">
        <v>520</v>
      </c>
      <c r="D65" s="729"/>
      <c r="E65" s="729"/>
      <c r="F65" s="729"/>
      <c r="G65" s="729"/>
      <c r="H65" s="736"/>
      <c r="I65" s="738"/>
      <c r="J65" s="729"/>
      <c r="K65" s="729"/>
      <c r="L65" s="730">
        <v>12</v>
      </c>
      <c r="M65" s="753" t="s">
        <v>19</v>
      </c>
      <c r="N65" s="730"/>
      <c r="O65" s="739">
        <v>215</v>
      </c>
      <c r="P65" s="771">
        <f>L65*O65</f>
        <v>2580</v>
      </c>
      <c r="Q65" s="741"/>
      <c r="R65" s="741"/>
      <c r="S65" s="730"/>
    </row>
    <row r="66" spans="1:19" s="726" customFormat="1" ht="24.75" customHeight="1">
      <c r="A66" s="725"/>
      <c r="B66" s="725"/>
      <c r="C66" s="1391" t="s">
        <v>521</v>
      </c>
      <c r="D66" s="729"/>
      <c r="E66" s="729"/>
      <c r="F66" s="729"/>
      <c r="G66" s="729"/>
      <c r="H66" s="736"/>
      <c r="I66" s="738"/>
      <c r="J66" s="729"/>
      <c r="K66" s="729"/>
      <c r="L66" s="730">
        <v>12</v>
      </c>
      <c r="M66" s="753" t="s">
        <v>19</v>
      </c>
      <c r="N66" s="730"/>
      <c r="O66" s="739">
        <v>215</v>
      </c>
      <c r="P66" s="771">
        <f t="shared" si="1"/>
        <v>2580</v>
      </c>
      <c r="Q66" s="741"/>
      <c r="R66" s="741"/>
      <c r="S66" s="730"/>
    </row>
    <row r="67" spans="1:19" s="726" customFormat="1" ht="24.75" customHeight="1">
      <c r="A67" s="725"/>
      <c r="B67" s="725"/>
      <c r="C67" s="1391" t="s">
        <v>522</v>
      </c>
      <c r="D67" s="729"/>
      <c r="E67" s="729"/>
      <c r="F67" s="729"/>
      <c r="G67" s="729"/>
      <c r="H67" s="736"/>
      <c r="I67" s="738"/>
      <c r="J67" s="729"/>
      <c r="K67" s="729"/>
      <c r="L67" s="730">
        <v>12</v>
      </c>
      <c r="M67" s="753" t="s">
        <v>19</v>
      </c>
      <c r="N67" s="730"/>
      <c r="O67" s="739">
        <v>215</v>
      </c>
      <c r="P67" s="771">
        <f>L67*O67</f>
        <v>2580</v>
      </c>
      <c r="Q67" s="741"/>
      <c r="R67" s="741"/>
      <c r="S67" s="730"/>
    </row>
    <row r="68" spans="1:19" s="726" customFormat="1" ht="24.75" customHeight="1">
      <c r="A68" s="725"/>
      <c r="B68" s="725"/>
      <c r="C68" s="1391" t="s">
        <v>523</v>
      </c>
      <c r="D68" s="729"/>
      <c r="E68" s="729"/>
      <c r="F68" s="729"/>
      <c r="G68" s="729"/>
      <c r="H68" s="736"/>
      <c r="I68" s="738"/>
      <c r="J68" s="729"/>
      <c r="K68" s="729"/>
      <c r="L68" s="730">
        <v>12</v>
      </c>
      <c r="M68" s="753" t="s">
        <v>19</v>
      </c>
      <c r="N68" s="730"/>
      <c r="O68" s="739">
        <v>215</v>
      </c>
      <c r="P68" s="771">
        <f>L68*O68</f>
        <v>2580</v>
      </c>
      <c r="Q68" s="741"/>
      <c r="R68" s="741"/>
      <c r="S68" s="763"/>
    </row>
    <row r="69" spans="1:19" s="726" customFormat="1" ht="24.75" customHeight="1">
      <c r="A69" s="725"/>
      <c r="B69" s="725"/>
      <c r="C69" s="1391" t="s">
        <v>524</v>
      </c>
      <c r="D69" s="729"/>
      <c r="E69" s="729"/>
      <c r="F69" s="729"/>
      <c r="G69" s="729"/>
      <c r="H69" s="736"/>
      <c r="I69" s="738"/>
      <c r="J69" s="729"/>
      <c r="K69" s="729"/>
      <c r="L69" s="730">
        <v>12</v>
      </c>
      <c r="M69" s="753" t="s">
        <v>19</v>
      </c>
      <c r="N69" s="730"/>
      <c r="O69" s="739">
        <v>100</v>
      </c>
      <c r="P69" s="771">
        <f>L69*O69</f>
        <v>1200</v>
      </c>
      <c r="Q69" s="741"/>
      <c r="R69" s="741"/>
      <c r="S69" s="763"/>
    </row>
    <row r="70" spans="1:19" s="726" customFormat="1" ht="24.75" customHeight="1">
      <c r="A70" s="832"/>
      <c r="B70" s="832"/>
      <c r="C70" s="1391" t="s">
        <v>525</v>
      </c>
      <c r="D70" s="729"/>
      <c r="E70" s="729"/>
      <c r="F70" s="729"/>
      <c r="G70" s="729"/>
      <c r="H70" s="736"/>
      <c r="I70" s="738"/>
      <c r="J70" s="729"/>
      <c r="K70" s="729"/>
      <c r="L70" s="730">
        <v>12</v>
      </c>
      <c r="M70" s="753" t="s">
        <v>19</v>
      </c>
      <c r="N70" s="730"/>
      <c r="O70" s="739">
        <v>100</v>
      </c>
      <c r="P70" s="771">
        <f t="shared" si="1"/>
        <v>1200</v>
      </c>
      <c r="Q70" s="741"/>
      <c r="R70" s="741"/>
      <c r="S70" s="730"/>
    </row>
    <row r="71" spans="1:19" s="726" customFormat="1" ht="24.75" customHeight="1">
      <c r="C71" s="766"/>
      <c r="D71" s="767"/>
      <c r="E71" s="767"/>
      <c r="F71" s="767"/>
      <c r="G71" s="766"/>
      <c r="H71" s="766"/>
      <c r="I71" s="766"/>
      <c r="J71" s="766"/>
      <c r="K71" s="766"/>
      <c r="L71" s="766"/>
      <c r="M71" s="766"/>
      <c r="N71" s="766"/>
      <c r="O71" s="766"/>
      <c r="P71" s="772"/>
      <c r="Q71" s="766"/>
      <c r="R71" s="766"/>
      <c r="S71" s="269"/>
    </row>
    <row r="72" spans="1:19" s="726" customFormat="1" ht="24.75" customHeight="1">
      <c r="C72" s="769" t="s">
        <v>171</v>
      </c>
      <c r="D72" s="767" t="s">
        <v>172</v>
      </c>
      <c r="E72" s="767"/>
      <c r="F72" s="767"/>
      <c r="G72" s="766"/>
      <c r="H72" s="766"/>
      <c r="I72" s="766"/>
      <c r="J72" s="766"/>
      <c r="K72" s="766"/>
      <c r="L72" s="766"/>
      <c r="M72" s="766"/>
      <c r="N72" s="766"/>
      <c r="O72" s="766"/>
      <c r="P72" s="772"/>
      <c r="Q72" s="766"/>
      <c r="R72" s="766"/>
      <c r="S72" s="269"/>
    </row>
    <row r="73" spans="1:19" s="726" customFormat="1" ht="24.75" customHeight="1">
      <c r="D73" s="726" t="s">
        <v>466</v>
      </c>
      <c r="P73" s="712"/>
      <c r="S73" s="269"/>
    </row>
  </sheetData>
  <mergeCells count="29">
    <mergeCell ref="P7:P8"/>
    <mergeCell ref="C29:O29"/>
    <mergeCell ref="A1:S1"/>
    <mergeCell ref="A2:S2"/>
    <mergeCell ref="A6:B8"/>
    <mergeCell ref="C6:C8"/>
    <mergeCell ref="D6:E7"/>
    <mergeCell ref="F6:G7"/>
    <mergeCell ref="H6:P6"/>
    <mergeCell ref="Q6:Q8"/>
    <mergeCell ref="R6:R8"/>
    <mergeCell ref="S6:S10"/>
    <mergeCell ref="H7:H8"/>
    <mergeCell ref="I7:K8"/>
    <mergeCell ref="L7:L8"/>
    <mergeCell ref="C15:G15"/>
    <mergeCell ref="C30:O30"/>
    <mergeCell ref="C37:O37"/>
    <mergeCell ref="C49:O49"/>
    <mergeCell ref="C55:O55"/>
    <mergeCell ref="M7:M8"/>
    <mergeCell ref="N7:N8"/>
    <mergeCell ref="O7:O8"/>
    <mergeCell ref="S41:S48"/>
    <mergeCell ref="S49:S55"/>
    <mergeCell ref="S18:S22"/>
    <mergeCell ref="S23:S27"/>
    <mergeCell ref="S28:S34"/>
    <mergeCell ref="S36:S40"/>
  </mergeCells>
  <pageMargins left="0.19685039370078741" right="0.11811023622047245" top="0.74803149606299213" bottom="0.55118110236220474" header="0.31496062992125984" footer="0.31496062992125984"/>
  <pageSetup paperSize="9" scale="75" orientation="landscape" r:id="rId1"/>
  <headerFooter>
    <oddFooter>&amp;C&amp;P/4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</vt:lpstr>
      <vt:lpstr>2.1</vt:lpstr>
      <vt:lpstr>2.2</vt:lpstr>
      <vt:lpstr>2.3</vt:lpstr>
      <vt:lpstr>2.4</vt:lpstr>
      <vt:lpstr>2.5</vt:lpstr>
      <vt:lpstr>3.1</vt:lpstr>
      <vt:lpstr>3.2</vt:lpstr>
      <vt:lpstr>3.3</vt:lpstr>
      <vt:lpstr>3.4</vt:lpstr>
      <vt:lpstr>3.5</vt:lpstr>
      <vt:lpstr>3.6</vt:lpstr>
      <vt:lpstr>4.2</vt:lpstr>
      <vt:lpstr>4.3</vt:lpstr>
      <vt:lpstr>4.4.1</vt:lpstr>
      <vt:lpstr>4.4.2</vt:lpstr>
      <vt:lpstr>4.5.4</vt:lpstr>
      <vt:lpstr>4.6</vt:lpstr>
      <vt:lpstr>5.1.1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'3.3'!Print_Titles</vt:lpstr>
      <vt:lpstr>'3.4'!Print_Titles</vt:lpstr>
      <vt:lpstr>'3.5'!Print_Titles</vt:lpstr>
      <vt:lpstr>'3.6'!Print_Titles</vt:lpstr>
      <vt:lpstr>'4.2'!Print_Titles</vt:lpstr>
      <vt:lpstr>'4.3'!Print_Titles</vt:lpstr>
      <vt:lpstr>'4.4.1'!Print_Titles</vt:lpstr>
      <vt:lpstr>'4.4.2'!Print_Titles</vt:lpstr>
      <vt:lpstr>'4.5.4'!Print_Titles</vt:lpstr>
      <vt:lpstr>'4.6'!Print_Titles</vt:lpstr>
      <vt:lpstr>'5.1.1'!Print_Titles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dell</cp:lastModifiedBy>
  <cp:lastPrinted>2018-01-30T04:43:35Z</cp:lastPrinted>
  <dcterms:created xsi:type="dcterms:W3CDTF">2017-01-26T07:25:22Z</dcterms:created>
  <dcterms:modified xsi:type="dcterms:W3CDTF">2018-04-17T09:45:02Z</dcterms:modified>
</cp:coreProperties>
</file>