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งาน สบย\งานแอน\งานกลุ่มนโยบายและแผน\การจัดทำคำของบประมาณปี 61\ตัดงบประมาณ 26 เม.ย. 60\สรุปรายละเอียดค่าใช้จ่าย\"/>
    </mc:Choice>
  </mc:AlternateContent>
  <bookViews>
    <workbookView xWindow="0" yWindow="0" windowWidth="24000" windowHeight="9345" firstSheet="4" activeTab="19"/>
  </bookViews>
  <sheets>
    <sheet name="1.1" sheetId="21" r:id="rId1"/>
    <sheet name="1.2" sheetId="22" r:id="rId2"/>
    <sheet name="2.1" sheetId="23" r:id="rId3"/>
    <sheet name="2.2.1" sheetId="24" r:id="rId4"/>
    <sheet name="2.2.2" sheetId="25" r:id="rId5"/>
    <sheet name="2.3" sheetId="26" r:id="rId6"/>
    <sheet name="2.4" sheetId="27" r:id="rId7"/>
    <sheet name="3" sheetId="28" r:id="rId8"/>
    <sheet name="4.1" sheetId="9" r:id="rId9"/>
    <sheet name="4.2" sheetId="10" r:id="rId10"/>
    <sheet name="5" sheetId="29" r:id="rId11"/>
    <sheet name="6" sheetId="11" r:id="rId12"/>
    <sheet name="7.1.1" sheetId="30" r:id="rId13"/>
    <sheet name="7.1.2" sheetId="31" r:id="rId14"/>
    <sheet name="7.2.1" sheetId="32" r:id="rId15"/>
    <sheet name="7.2.2" sheetId="33" r:id="rId16"/>
    <sheet name="7.3.1" sheetId="12" r:id="rId17"/>
    <sheet name="7.3.2" sheetId="13" r:id="rId18"/>
    <sheet name="7.4.1" sheetId="34" r:id="rId19"/>
    <sheet name="7.4.2" sheetId="35" r:id="rId20"/>
    <sheet name="8.1" sheetId="14" r:id="rId21"/>
    <sheet name="8.2" sheetId="15" r:id="rId22"/>
    <sheet name="8.3" sheetId="16" r:id="rId23"/>
    <sheet name="8.4" sheetId="17" r:id="rId24"/>
    <sheet name="8.5" sheetId="18" r:id="rId25"/>
    <sheet name="8.6" sheetId="19" r:id="rId26"/>
    <sheet name="8.7" sheetId="20" r:id="rId27"/>
  </sheets>
  <externalReferences>
    <externalReference r:id="rId28"/>
    <externalReference r:id="rId29"/>
    <externalReference r:id="rId30"/>
  </externalReferences>
  <definedNames>
    <definedName name="_xlnm.Print_Area" localSheetId="21">'8.2'!$A$1:$C$380</definedName>
    <definedName name="_xlnm.Print_Area" localSheetId="24">'8.5'!$A$1:$C$372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4" i="33" l="1"/>
  <c r="B114" i="33"/>
  <c r="C113" i="33"/>
  <c r="B113" i="33"/>
  <c r="C112" i="33"/>
  <c r="B112" i="33"/>
  <c r="C111" i="33"/>
  <c r="B111" i="33"/>
  <c r="C110" i="33"/>
  <c r="B110" i="33"/>
  <c r="C109" i="33"/>
  <c r="B109" i="33"/>
  <c r="C107" i="33"/>
  <c r="B107" i="33"/>
  <c r="C106" i="33"/>
  <c r="B106" i="33"/>
  <c r="C105" i="33"/>
  <c r="B105" i="33"/>
  <c r="C104" i="33"/>
  <c r="B104" i="33"/>
  <c r="C103" i="33"/>
  <c r="B103" i="33"/>
  <c r="C102" i="33"/>
  <c r="B102" i="33"/>
  <c r="C101" i="33"/>
  <c r="B101" i="33"/>
  <c r="C100" i="33"/>
  <c r="B100" i="33"/>
  <c r="C99" i="33"/>
  <c r="C98" i="33" s="1"/>
  <c r="B99" i="33"/>
  <c r="C97" i="33"/>
  <c r="B97" i="33"/>
  <c r="C96" i="33"/>
  <c r="B96" i="33"/>
  <c r="C95" i="33"/>
  <c r="B95" i="33"/>
  <c r="C94" i="33"/>
  <c r="B94" i="33"/>
  <c r="C93" i="33"/>
  <c r="C92" i="33" s="1"/>
  <c r="B93" i="33"/>
  <c r="C91" i="33"/>
  <c r="B91" i="33"/>
  <c r="C90" i="33"/>
  <c r="B90" i="33"/>
  <c r="C89" i="33"/>
  <c r="B89" i="33"/>
  <c r="C88" i="33"/>
  <c r="B88" i="33"/>
  <c r="C87" i="33"/>
  <c r="B87" i="33"/>
  <c r="C86" i="33"/>
  <c r="C85" i="33" s="1"/>
  <c r="B86" i="33"/>
  <c r="C83" i="33"/>
  <c r="B83" i="33"/>
  <c r="C82" i="33"/>
  <c r="B82" i="33"/>
  <c r="B81" i="33"/>
  <c r="C80" i="33"/>
  <c r="B80" i="33"/>
  <c r="C79" i="33"/>
  <c r="B79" i="33"/>
  <c r="C78" i="33"/>
  <c r="B78" i="33"/>
  <c r="C77" i="33"/>
  <c r="B77" i="33"/>
  <c r="C76" i="33"/>
  <c r="B76" i="33"/>
  <c r="C75" i="33"/>
  <c r="B75" i="33"/>
  <c r="B74" i="33"/>
  <c r="C73" i="33"/>
  <c r="B73" i="33"/>
  <c r="C72" i="33"/>
  <c r="B72" i="33"/>
  <c r="C71" i="33"/>
  <c r="B71" i="33"/>
  <c r="C70" i="33"/>
  <c r="B70" i="33"/>
  <c r="C69" i="33"/>
  <c r="B69" i="33"/>
  <c r="C68" i="33"/>
  <c r="B68" i="33"/>
  <c r="C67" i="33"/>
  <c r="B67" i="33"/>
  <c r="C66" i="33"/>
  <c r="B66" i="33"/>
  <c r="C65" i="33"/>
  <c r="B65" i="33"/>
  <c r="C63" i="33"/>
  <c r="B63" i="33"/>
  <c r="C62" i="33"/>
  <c r="B62" i="33"/>
  <c r="C61" i="33"/>
  <c r="B61" i="33"/>
  <c r="C60" i="33"/>
  <c r="B60" i="33"/>
  <c r="C59" i="33"/>
  <c r="B59" i="33"/>
  <c r="C58" i="33"/>
  <c r="B58" i="33"/>
  <c r="C57" i="33"/>
  <c r="B57" i="33"/>
  <c r="C56" i="33"/>
  <c r="B56" i="33"/>
  <c r="C55" i="33"/>
  <c r="B55" i="33"/>
  <c r="C54" i="33"/>
  <c r="B54" i="33"/>
  <c r="C53" i="33"/>
  <c r="B53" i="33"/>
  <c r="C52" i="33"/>
  <c r="B52" i="33"/>
  <c r="C51" i="33"/>
  <c r="B51" i="33"/>
  <c r="C50" i="33"/>
  <c r="C49" i="33" s="1"/>
  <c r="C48" i="33"/>
  <c r="B48" i="33"/>
  <c r="C47" i="33"/>
  <c r="B47" i="33"/>
  <c r="C46" i="33"/>
  <c r="B46" i="33"/>
  <c r="C45" i="33"/>
  <c r="B45" i="33"/>
  <c r="C44" i="33"/>
  <c r="B44" i="33"/>
  <c r="C43" i="33"/>
  <c r="C42" i="33" s="1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C23" i="33" s="1"/>
  <c r="B24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C14" i="33" s="1"/>
  <c r="B15" i="33"/>
  <c r="C12" i="33"/>
  <c r="C11" i="33"/>
  <c r="C10" i="33"/>
  <c r="C9" i="33"/>
  <c r="C8" i="33"/>
  <c r="C7" i="33" s="1"/>
  <c r="C6" i="33" s="1"/>
  <c r="B7" i="33"/>
  <c r="A2" i="33"/>
  <c r="B5" i="33" s="1"/>
  <c r="G63" i="32"/>
  <c r="G62" i="32"/>
  <c r="G61" i="32"/>
  <c r="G60" i="32"/>
  <c r="G59" i="32"/>
  <c r="G58" i="32"/>
  <c r="G52" i="32"/>
  <c r="G51" i="32"/>
  <c r="G50" i="32"/>
  <c r="G49" i="32"/>
  <c r="D42" i="32"/>
  <c r="G42" i="32" s="1"/>
  <c r="G41" i="32"/>
  <c r="G40" i="32"/>
  <c r="G39" i="32"/>
  <c r="G38" i="32"/>
  <c r="G37" i="32"/>
  <c r="D36" i="32"/>
  <c r="G36" i="32" s="1"/>
  <c r="G35" i="32"/>
  <c r="G34" i="32"/>
  <c r="G33" i="32"/>
  <c r="G32" i="32"/>
  <c r="G25" i="32"/>
  <c r="G22" i="32"/>
  <c r="G20" i="32"/>
  <c r="G18" i="32"/>
  <c r="G17" i="32"/>
  <c r="G16" i="32"/>
  <c r="G10" i="32"/>
  <c r="G9" i="32"/>
  <c r="G8" i="32"/>
  <c r="G7" i="32"/>
  <c r="G11" i="32" s="1"/>
  <c r="G28" i="32" l="1"/>
  <c r="G54" i="32"/>
  <c r="G64" i="32"/>
  <c r="C74" i="33"/>
  <c r="C108" i="33"/>
  <c r="C64" i="33"/>
  <c r="C84" i="33"/>
  <c r="G45" i="32"/>
  <c r="G66" i="32"/>
  <c r="B67" i="32" s="1"/>
  <c r="H43" i="10"/>
  <c r="C13" i="33" l="1"/>
  <c r="C116" i="33" s="1"/>
  <c r="B117" i="33" s="1"/>
  <c r="H13" i="9"/>
  <c r="H11" i="9"/>
  <c r="H47" i="10"/>
  <c r="H13" i="10"/>
  <c r="H19" i="10"/>
  <c r="H46" i="9"/>
  <c r="H60" i="9"/>
  <c r="H48" i="9" s="1"/>
  <c r="C27" i="35" l="1"/>
  <c r="C24" i="35"/>
  <c r="C19" i="35"/>
  <c r="C11" i="35"/>
  <c r="C5" i="35"/>
  <c r="C13" i="35" l="1"/>
  <c r="C35" i="35" s="1"/>
  <c r="C4" i="35"/>
  <c r="C3" i="35"/>
  <c r="C22" i="34" l="1"/>
  <c r="C17" i="34"/>
  <c r="C12" i="34"/>
  <c r="C10" i="34"/>
  <c r="C6" i="34"/>
  <c r="C28" i="34" l="1"/>
  <c r="C47" i="31"/>
  <c r="C41" i="31"/>
  <c r="C36" i="31"/>
  <c r="C26" i="31" s="1"/>
  <c r="C27" i="31"/>
  <c r="C17" i="31"/>
  <c r="C7" i="30"/>
  <c r="C250" i="30" s="1"/>
  <c r="C50" i="28"/>
  <c r="C42" i="28"/>
  <c r="C34" i="28"/>
  <c r="C27" i="28"/>
  <c r="C23" i="28"/>
  <c r="C15" i="28"/>
  <c r="C13" i="28"/>
  <c r="C6" i="28"/>
  <c r="C55" i="28" l="1"/>
  <c r="C52" i="31"/>
  <c r="C41" i="27"/>
  <c r="C40" i="27"/>
  <c r="C39" i="27"/>
  <c r="C38" i="27"/>
  <c r="C36" i="27"/>
  <c r="C35" i="27"/>
  <c r="C34" i="27"/>
  <c r="C33" i="27"/>
  <c r="C32" i="27"/>
  <c r="C30" i="27"/>
  <c r="C29" i="27"/>
  <c r="C28" i="27"/>
  <c r="C27" i="27"/>
  <c r="C26" i="27"/>
  <c r="C25" i="27"/>
  <c r="C23" i="27"/>
  <c r="C22" i="27"/>
  <c r="C21" i="27"/>
  <c r="C19" i="27"/>
  <c r="C18" i="27"/>
  <c r="C17" i="27"/>
  <c r="C14" i="27"/>
  <c r="C13" i="27"/>
  <c r="C12" i="27"/>
  <c r="C11" i="27"/>
  <c r="C10" i="27"/>
  <c r="C9" i="27"/>
  <c r="C8" i="27"/>
  <c r="B7" i="27"/>
  <c r="C45" i="26"/>
  <c r="C44" i="26"/>
  <c r="C43" i="26"/>
  <c r="C42" i="26"/>
  <c r="C41" i="26"/>
  <c r="C34" i="26"/>
  <c r="C33" i="26"/>
  <c r="C32" i="26"/>
  <c r="C31" i="26"/>
  <c r="C30" i="26"/>
  <c r="C28" i="26"/>
  <c r="C27" i="26"/>
  <c r="C26" i="26"/>
  <c r="C25" i="26"/>
  <c r="C24" i="26"/>
  <c r="C23" i="26"/>
  <c r="C22" i="26"/>
  <c r="C21" i="26"/>
  <c r="C19" i="26"/>
  <c r="C18" i="26"/>
  <c r="C17" i="26"/>
  <c r="C16" i="26"/>
  <c r="C13" i="26"/>
  <c r="C12" i="26"/>
  <c r="C11" i="26"/>
  <c r="C10" i="26"/>
  <c r="C9" i="26"/>
  <c r="C8" i="26"/>
  <c r="B7" i="26"/>
  <c r="C39" i="25"/>
  <c r="C38" i="25"/>
  <c r="C37" i="25"/>
  <c r="C36" i="25"/>
  <c r="C35" i="25"/>
  <c r="C34" i="25"/>
  <c r="C33" i="25"/>
  <c r="C32" i="25"/>
  <c r="C30" i="25"/>
  <c r="C29" i="25"/>
  <c r="C28" i="25"/>
  <c r="C27" i="25"/>
  <c r="C26" i="25"/>
  <c r="C25" i="25"/>
  <c r="C23" i="25"/>
  <c r="C22" i="25"/>
  <c r="C21" i="25"/>
  <c r="C19" i="25"/>
  <c r="C18" i="25"/>
  <c r="C17" i="25"/>
  <c r="C14" i="25"/>
  <c r="C13" i="25"/>
  <c r="C12" i="25"/>
  <c r="C11" i="25"/>
  <c r="C10" i="25"/>
  <c r="C9" i="25"/>
  <c r="C8" i="25"/>
  <c r="B7" i="25"/>
  <c r="C39" i="24"/>
  <c r="C38" i="24"/>
  <c r="C37" i="24"/>
  <c r="C36" i="24"/>
  <c r="C35" i="24"/>
  <c r="C34" i="24"/>
  <c r="C33" i="24"/>
  <c r="C32" i="24"/>
  <c r="C31" i="24" s="1"/>
  <c r="C30" i="24"/>
  <c r="C29" i="24"/>
  <c r="C28" i="24"/>
  <c r="C27" i="24"/>
  <c r="C26" i="24"/>
  <c r="C25" i="24"/>
  <c r="C23" i="24"/>
  <c r="C22" i="24"/>
  <c r="C20" i="24" s="1"/>
  <c r="C21" i="24"/>
  <c r="C19" i="24"/>
  <c r="C18" i="24"/>
  <c r="C17" i="24"/>
  <c r="C14" i="24"/>
  <c r="C13" i="24"/>
  <c r="C12" i="24"/>
  <c r="C11" i="24"/>
  <c r="C10" i="24"/>
  <c r="C9" i="24"/>
  <c r="C8" i="24"/>
  <c r="B7" i="24"/>
  <c r="C73" i="23"/>
  <c r="C72" i="23"/>
  <c r="C71" i="23"/>
  <c r="C69" i="23"/>
  <c r="C68" i="23"/>
  <c r="C67" i="23"/>
  <c r="C66" i="23"/>
  <c r="C64" i="23"/>
  <c r="C63" i="23"/>
  <c r="C62" i="23"/>
  <c r="C60" i="23"/>
  <c r="C59" i="23"/>
  <c r="C58" i="23"/>
  <c r="C57" i="23"/>
  <c r="C56" i="23"/>
  <c r="C55" i="23"/>
  <c r="C54" i="23"/>
  <c r="C52" i="23"/>
  <c r="C51" i="23"/>
  <c r="C50" i="23"/>
  <c r="C49" i="23"/>
  <c r="C48" i="23"/>
  <c r="C47" i="23"/>
  <c r="C45" i="23"/>
  <c r="C44" i="23"/>
  <c r="C43" i="23"/>
  <c r="C42" i="23"/>
  <c r="C41" i="23"/>
  <c r="C38" i="23" s="1"/>
  <c r="C40" i="23"/>
  <c r="C39" i="23"/>
  <c r="C36" i="23"/>
  <c r="C35" i="23"/>
  <c r="C34" i="23"/>
  <c r="C33" i="23"/>
  <c r="C32" i="23"/>
  <c r="C30" i="23"/>
  <c r="C29" i="23"/>
  <c r="C28" i="23"/>
  <c r="C27" i="23"/>
  <c r="C26" i="23"/>
  <c r="C25" i="23"/>
  <c r="C23" i="23"/>
  <c r="C22" i="23"/>
  <c r="C20" i="23" s="1"/>
  <c r="C19" i="23"/>
  <c r="C18" i="23"/>
  <c r="C17" i="23"/>
  <c r="C16" i="23"/>
  <c r="C13" i="23"/>
  <c r="C12" i="23"/>
  <c r="C11" i="23"/>
  <c r="C10" i="23"/>
  <c r="C9" i="23"/>
  <c r="C8" i="23"/>
  <c r="C7" i="23" s="1"/>
  <c r="B7" i="23"/>
  <c r="C7" i="24" l="1"/>
  <c r="C31" i="27"/>
  <c r="C16" i="24"/>
  <c r="C41" i="24" s="1"/>
  <c r="B42" i="24" s="1"/>
  <c r="C46" i="23"/>
  <c r="C53" i="23"/>
  <c r="C24" i="24"/>
  <c r="C20" i="25"/>
  <c r="C29" i="26"/>
  <c r="C16" i="27"/>
  <c r="C16" i="25"/>
  <c r="C20" i="26"/>
  <c r="C7" i="27"/>
  <c r="C37" i="27"/>
  <c r="C7" i="25"/>
  <c r="C6" i="25" s="1"/>
  <c r="C31" i="25"/>
  <c r="C15" i="26"/>
  <c r="C24" i="27"/>
  <c r="C31" i="23"/>
  <c r="C24" i="23"/>
  <c r="C6" i="23" s="1"/>
  <c r="C65" i="23"/>
  <c r="C15" i="23"/>
  <c r="C61" i="23"/>
  <c r="C24" i="25"/>
  <c r="C7" i="26"/>
  <c r="C40" i="26"/>
  <c r="C20" i="27"/>
  <c r="C6" i="27"/>
  <c r="C6" i="24" l="1"/>
  <c r="C74" i="23"/>
  <c r="B75" i="23" s="1"/>
  <c r="C41" i="25"/>
  <c r="B42" i="25" s="1"/>
  <c r="C47" i="26"/>
  <c r="B48" i="26" s="1"/>
  <c r="C43" i="27"/>
  <c r="B44" i="27" s="1"/>
  <c r="C6" i="26"/>
  <c r="H69" i="9"/>
  <c r="H67" i="9"/>
  <c r="H68" i="9"/>
  <c r="H15" i="9"/>
  <c r="H17" i="9"/>
  <c r="H20" i="9"/>
  <c r="H26" i="9"/>
  <c r="H28" i="9"/>
  <c r="H27" i="9"/>
  <c r="H34" i="9"/>
  <c r="H36" i="9"/>
  <c r="H35" i="9"/>
  <c r="H45" i="9"/>
  <c r="H44" i="9"/>
  <c r="H43" i="9"/>
  <c r="H42" i="9" l="1"/>
  <c r="H65" i="9"/>
  <c r="H8" i="9"/>
  <c r="H7" i="9" s="1"/>
  <c r="H38" i="9"/>
  <c r="H30" i="9"/>
  <c r="F17" i="11"/>
  <c r="F18" i="11"/>
  <c r="H24" i="9" l="1"/>
  <c r="H23" i="9"/>
  <c r="H72" i="9" s="1"/>
  <c r="J10" i="11"/>
  <c r="F35" i="11"/>
  <c r="F36" i="11"/>
  <c r="F38" i="11"/>
  <c r="F28" i="11"/>
  <c r="F19" i="11"/>
  <c r="F9" i="11"/>
  <c r="F24" i="11"/>
  <c r="F25" i="11"/>
  <c r="K10" i="11"/>
  <c r="L10" i="11"/>
  <c r="K11" i="11"/>
  <c r="L11" i="11"/>
  <c r="K12" i="11"/>
  <c r="L12" i="11"/>
  <c r="K13" i="11"/>
  <c r="L13" i="11"/>
  <c r="E13" i="11" s="1"/>
  <c r="K14" i="11"/>
  <c r="L14" i="11"/>
  <c r="E14" i="11" s="1"/>
  <c r="K15" i="11"/>
  <c r="L15" i="11"/>
  <c r="E15" i="11" s="1"/>
  <c r="K16" i="11"/>
  <c r="L16" i="11"/>
  <c r="E16" i="11" s="1"/>
  <c r="K18" i="11"/>
  <c r="L18" i="11"/>
  <c r="E18" i="11" s="1"/>
  <c r="H19" i="11"/>
  <c r="K20" i="11"/>
  <c r="L20" i="11"/>
  <c r="E20" i="11" s="1"/>
  <c r="K21" i="11"/>
  <c r="L21" i="11"/>
  <c r="E21" i="11" s="1"/>
  <c r="E12" i="11"/>
  <c r="F34" i="11" l="1"/>
  <c r="F23" i="11"/>
  <c r="F22" i="11" s="1"/>
  <c r="K19" i="11"/>
  <c r="L19" i="11"/>
  <c r="E11" i="11"/>
  <c r="E10" i="11"/>
  <c r="F7" i="11" l="1"/>
  <c r="J1" i="11" s="1"/>
  <c r="C326" i="18" l="1"/>
  <c r="C24" i="20" l="1"/>
  <c r="C12" i="20"/>
  <c r="C3" i="20"/>
  <c r="C43" i="20" l="1"/>
  <c r="B44" i="20" s="1"/>
  <c r="C95" i="19" l="1"/>
  <c r="C94" i="19"/>
  <c r="C93" i="19"/>
  <c r="C92" i="19"/>
  <c r="C91" i="19"/>
  <c r="C86" i="19"/>
  <c r="C83" i="19"/>
  <c r="C82" i="19"/>
  <c r="C81" i="19"/>
  <c r="C80" i="19"/>
  <c r="C74" i="19"/>
  <c r="C69" i="19"/>
  <c r="C68" i="19"/>
  <c r="C67" i="19"/>
  <c r="C66" i="19"/>
  <c r="C65" i="19"/>
  <c r="C64" i="19"/>
  <c r="C63" i="19"/>
  <c r="C62" i="19"/>
  <c r="C60" i="19"/>
  <c r="C59" i="19"/>
  <c r="C58" i="19"/>
  <c r="C57" i="19"/>
  <c r="C56" i="19"/>
  <c r="C55" i="19"/>
  <c r="C52" i="19"/>
  <c r="C51" i="19"/>
  <c r="C50" i="19"/>
  <c r="C49" i="19"/>
  <c r="C48" i="19"/>
  <c r="C47" i="19"/>
  <c r="C46" i="19"/>
  <c r="C44" i="19"/>
  <c r="C43" i="19"/>
  <c r="C42" i="19"/>
  <c r="C41" i="19"/>
  <c r="C38" i="19" s="1"/>
  <c r="C36" i="19"/>
  <c r="C35" i="19"/>
  <c r="C34" i="19"/>
  <c r="C33" i="19"/>
  <c r="C29" i="19"/>
  <c r="C28" i="19"/>
  <c r="C27" i="19"/>
  <c r="C26" i="19"/>
  <c r="C20" i="19"/>
  <c r="C16" i="19"/>
  <c r="C15" i="19"/>
  <c r="C12" i="19"/>
  <c r="C11" i="19"/>
  <c r="C10" i="19"/>
  <c r="C9" i="19"/>
  <c r="C8" i="19"/>
  <c r="C6" i="19" s="1"/>
  <c r="C7" i="19"/>
  <c r="B6" i="19"/>
  <c r="C88" i="19" l="1"/>
  <c r="C23" i="19"/>
  <c r="C79" i="19"/>
  <c r="C53" i="19"/>
  <c r="C104" i="19" l="1"/>
  <c r="B105" i="19" s="1"/>
  <c r="C370" i="18"/>
  <c r="C360" i="18"/>
  <c r="C353" i="18"/>
  <c r="C346" i="18"/>
  <c r="C336" i="18"/>
  <c r="C315" i="18"/>
  <c r="C304" i="18"/>
  <c r="C295" i="18"/>
  <c r="C284" i="18"/>
  <c r="C266" i="18"/>
  <c r="C208" i="18"/>
  <c r="C186" i="18"/>
  <c r="C162" i="18"/>
  <c r="C140" i="18"/>
  <c r="C117" i="18"/>
  <c r="C93" i="18"/>
  <c r="C82" i="18"/>
  <c r="C76" i="18"/>
  <c r="C39" i="18"/>
  <c r="C31" i="18"/>
  <c r="C18" i="18"/>
  <c r="C371" i="18" l="1"/>
  <c r="C508" i="17"/>
  <c r="C495" i="17"/>
  <c r="C476" i="17"/>
  <c r="C468" i="17"/>
  <c r="C453" i="17"/>
  <c r="C442" i="17"/>
  <c r="C429" i="17"/>
  <c r="C415" i="17"/>
  <c r="C405" i="17"/>
  <c r="C377" i="17"/>
  <c r="C333" i="17"/>
  <c r="C291" i="17"/>
  <c r="C256" i="17"/>
  <c r="C229" i="17"/>
  <c r="C207" i="17"/>
  <c r="C182" i="17"/>
  <c r="C141" i="17"/>
  <c r="C131" i="17"/>
  <c r="C116" i="17"/>
  <c r="C52" i="17"/>
  <c r="C32" i="17"/>
  <c r="C19" i="17"/>
  <c r="C510" i="17" l="1"/>
  <c r="B147" i="16"/>
  <c r="C368" i="15"/>
  <c r="C362" i="15"/>
  <c r="C33" i="15"/>
  <c r="C24" i="15"/>
  <c r="C9" i="15"/>
  <c r="C8" i="15" s="1"/>
  <c r="C378" i="15" l="1"/>
  <c r="B379" i="15" s="1"/>
  <c r="C101" i="14"/>
  <c r="C90" i="14"/>
  <c r="C82" i="14"/>
  <c r="C74" i="14"/>
  <c r="C63" i="14"/>
  <c r="C54" i="14"/>
  <c r="C27" i="14"/>
  <c r="C19" i="14"/>
  <c r="C103" i="14" l="1"/>
  <c r="H57" i="13"/>
  <c r="H46" i="13"/>
  <c r="H37" i="13"/>
  <c r="H26" i="13"/>
  <c r="H24" i="13"/>
  <c r="H27" i="13" s="1"/>
  <c r="H19" i="13"/>
  <c r="H14" i="13"/>
  <c r="H47" i="12"/>
  <c r="H38" i="12"/>
  <c r="H30" i="12"/>
  <c r="H22" i="12"/>
  <c r="H14" i="12"/>
  <c r="H49" i="12" l="1"/>
  <c r="H59" i="13"/>
  <c r="H53" i="10"/>
  <c r="H52" i="10"/>
  <c r="H51" i="10"/>
  <c r="H50" i="10"/>
  <c r="H42" i="10"/>
  <c r="H41" i="10"/>
  <c r="H40" i="10"/>
  <c r="H37" i="10"/>
  <c r="H36" i="10"/>
  <c r="H34" i="10"/>
  <c r="H31" i="10"/>
  <c r="H30" i="10"/>
  <c r="H28" i="10"/>
  <c r="H24" i="10"/>
  <c r="H20" i="10"/>
  <c r="H17" i="10"/>
  <c r="H15" i="10"/>
  <c r="H11" i="10"/>
  <c r="H9" i="10"/>
  <c r="H45" i="10" l="1"/>
  <c r="H32" i="10"/>
  <c r="H25" i="10"/>
  <c r="H38" i="10"/>
  <c r="H54" i="10"/>
  <c r="H56" i="10" l="1"/>
</calcChain>
</file>

<file path=xl/sharedStrings.xml><?xml version="1.0" encoding="utf-8"?>
<sst xmlns="http://schemas.openxmlformats.org/spreadsheetml/2006/main" count="3013" uniqueCount="1987">
  <si>
    <t>รายละเอียดค่าใช้จ่าย</t>
  </si>
  <si>
    <t>รวมเงิน</t>
  </si>
  <si>
    <t>(บาท)</t>
  </si>
  <si>
    <t>บุคลากร</t>
  </si>
  <si>
    <t>ค่าดำเนินงานรวมภาษีมูลค่าเพิ่ม</t>
  </si>
  <si>
    <t>โครงการการพัฒนาเมืองอุตสาหกรรมเชิงนิเวศกลุ่มจังหวัด
ที่มีศักยภาพการพัฒนาอุตสาหกรรม 8 จังหวัด 
(พระนครศรีอยุธยา สระบุรี ราชบุรี ปราจีนบุรี นครราชสีมา ขอนแก่น สุราษฏร์ธานี และสงขลา)</t>
  </si>
  <si>
    <t>หมวดค่าใช้จ่าย</t>
  </si>
  <si>
    <t>ค่าใช้จ่ายรวม (บาท)</t>
  </si>
  <si>
    <t>ผู้จัดการโครงการ</t>
  </si>
  <si>
    <t>ผู้ประสานงานโครงการ</t>
  </si>
  <si>
    <t>หมวดค่าดำเนินการ</t>
  </si>
  <si>
    <t xml:space="preserve"> 2 ครั้งๆ/จังหวัด 50 คน</t>
  </si>
  <si>
    <t>ค่าอาหารว่าง (50 บาท x 50 คน  x  32 ครั้ง)</t>
  </si>
  <si>
    <t>ค่าอาหารกลางวัน  (2 มื้อ)  (500 บาท x 50 คน x 16 ครั้ง)</t>
  </si>
  <si>
    <t>ค่าสถานที่จัดประชุม (5000 บาท)</t>
  </si>
  <si>
    <t>ค่าอาหารกลางวัน  (1 มื้อ)  (500 บาท x 50 คน)</t>
  </si>
  <si>
    <t>ค่าสถานที่และตกแต่ง</t>
  </si>
  <si>
    <t>พิธีกร</t>
  </si>
  <si>
    <t>จัดทำเอกสารสรุปผลการดำเนินงานเสนอผู้บริหาร</t>
  </si>
  <si>
    <t>แผนการดำเนินโครงการ 10 ฉบับ พร้อม CD-Rom 1 แผ่น</t>
  </si>
  <si>
    <t>รายงานฉบับต้น 10 ฉบับ พร้อม CD-Rom 1 แผ่น</t>
  </si>
  <si>
    <t>รายงานความก้าวหน้าฉบับกลาง 10 ฉบับ พร้อม CD-Rom 1 แผ่น</t>
  </si>
  <si>
    <t>ร่างรายงานฉบับสมบูรณ์ 10 ฉบับ พร้อม CD-Rom 1 แผ่นพร้อม CD-Rom</t>
  </si>
  <si>
    <t>รายงานฉบับสมบูรณ์ (Final Report)</t>
  </si>
  <si>
    <t>1) รายงานฉบับสมบูรณ์ ภาษาไทย พร้อม CD-Rom</t>
  </si>
  <si>
    <t>2) รายงานสรุปสำหรับผู้บริหารภาษาไทย</t>
  </si>
  <si>
    <t>2) รายงานสรุปสำหรับผู้บริหารภาษาอังกฤษ</t>
  </si>
  <si>
    <t>ค่าเบี้ยเลี้ยงเจ้าหน้าที่ (240 บาท x จำนวน 5 คน x 32 วัน)</t>
  </si>
  <si>
    <t>ค่ารถโดยสาร (รถตู้รวมค่าน้ำมัน) (2500บาท x 32วัน)</t>
  </si>
  <si>
    <t>ค่าเครื่องบินไป-กลับ (5000 บาท x 5 คน x 6 ครั้ง)</t>
  </si>
  <si>
    <t>ค่าจัดทำบอร์ดนิทรรศการโครงการ</t>
  </si>
  <si>
    <t>ค่าเอกสารประกอบการประชุม (200 บาท x 50 คน x 16 ครั้ง)</t>
  </si>
  <si>
    <t>ค่าสถานที่จัดประชุม (5000 บาท x 16 ครั้ง)</t>
  </si>
  <si>
    <t>ค่าวิทยากร  (1,200 บาท x คนละ 21 ชั่วโมง)</t>
  </si>
  <si>
    <t>ค่าวิทยากร  (1,200 บาท x คนละ 7 ชั่วโมง)</t>
  </si>
  <si>
    <t>ค่าอาหารว่าง   (2 มื้อ)  (100 บาท x 50 คน )</t>
  </si>
  <si>
    <t>ค่าเอกสารประกอบการประชุม (200 บาท x 50 คน x 2 ครั้ง)</t>
  </si>
  <si>
    <t>ค่าสถานที่จัดประชุม (5000 บาท x 2 ครั้ง)</t>
  </si>
  <si>
    <t>ค่าอาหารว่าง 4 มื้อ (50 บาท x 50 คน)</t>
  </si>
  <si>
    <t>ค่าอาหารกลางวัน  (2 มื้อ)  (500 บาท x 50 คน )</t>
  </si>
  <si>
    <t>ตรวจสอบประเมินผลการพัฒนาเมืองอุตสาหกรรมเชิงนิเวศ</t>
  </si>
  <si>
    <t>ค่าเอกสารประกอบการประเมิน (100 บาท  x 528 ชุด )</t>
  </si>
  <si>
    <t>ค่าเบี้ยเลี้ยงเจ้าหน้าที่ 22พื้นที่ (240 บาท x จำนวน 8 คน)</t>
  </si>
  <si>
    <t>ค่าที่พักเจ้าหน้าที่ (800 บาท x 4 ห้อง x 2 คืน)</t>
  </si>
  <si>
    <t>ค่าเครื่องบินไป-กลับ (5000 บาท x  8 คน x 5 จังหวัด)</t>
  </si>
  <si>
    <t>ค่ารถโดยสาร (รถตู้รวมค่าน้ำมัน) (2500บาท x 198 วัน)</t>
  </si>
  <si>
    <t>ค่าเอกสารประกอบการสัมมนา (200 บาท x 80 คน)</t>
  </si>
  <si>
    <t>ค่าอาหารว่าง   (2 มื้อ)  (100 บาท x 80 คน )</t>
  </si>
  <si>
    <t>ค่าอาหารกลางวัน  (1 มื้อ)  (500 บาท x 80 คน)</t>
  </si>
  <si>
    <t>ค่าเบี้ยเลี้ยงเจ้าหน้าที่ (240 บาท x จำนวน 5 คน )</t>
  </si>
  <si>
    <t>ค่าที่พักเจ้าหน้าที่ (800 บาท x 3 ห้อง x 2 คืน)</t>
  </si>
  <si>
    <t>ค่ารถโดยสาร (รถตู้รวมค่าน้ำมัน) (2500บาท x 3 วัน)</t>
  </si>
  <si>
    <t>ค่าเอกสารประกอบการสัมมนา (200 บาท x 50 คน)</t>
  </si>
  <si>
    <t>ค่ารถโดยสาร (รถตู้รวมค่าน้ำมัน) (2500บาทx 1 วัน)</t>
  </si>
  <si>
    <t>ค่าเอกสารประกอบการจัดกิจกรรม (100 บาท x 1000 คน)</t>
  </si>
  <si>
    <t>เจ็ดล้านหนึ่งพันหกสิบบาทถ้วน</t>
  </si>
  <si>
    <t>ค่ารถโดยสาร (รถตู้รวมค่าน้ำมัน) (2500บาท x 22 พื้นที่ x 4 วัน)</t>
  </si>
  <si>
    <t>ค่าผู้ตรวจประเมิน  (3600 บาท/วัน x 22 พื้นที่ x 2 วัน x 5 คน)</t>
  </si>
  <si>
    <t>19 จังหวัด 22 พื้นที่ 2 ครั้ง ๆ ละ 5 คน</t>
  </si>
  <si>
    <t>ค่าเอกสารประกอบการประเมิน (100 บาท  x 22 พื้นที่ x 2 วัน)</t>
  </si>
  <si>
    <t>ค่าเบี้ยเลี้ยงเจ้าหน้าที่ประสานงาน 22พื้นที่ (240 บาท x 22 พื้นที่ x 2 คน x 4 วัน)</t>
  </si>
  <si>
    <t>ค่าที่พักเจ้าหน้าที่ (800 บาท x 4 ห้อง x 22 พื้นที่ x 2 ครั้ง)</t>
  </si>
  <si>
    <t>ค่าเครื่องบินไป-กลับ (5000 บาท x  5 คน x 5 จังหวัด x 2 ครั้ง)</t>
  </si>
  <si>
    <t>ค่าเบี้ยเลี้ยงเจ้าหน้าที่ 22พื้นที่ (240 บาท x 22 พื้นที่ x 2 คน x 2 วัน)</t>
  </si>
  <si>
    <t>ค่าเครื่องบินไป-กลับ (5000 บาท x  2 คน x 5 จังหวัด x 1 ครั้ง)</t>
  </si>
  <si>
    <t>ค่ารถโดยสาร (รถตู้รวมค่าน้ำมัน) (2500บาท x 22 พื้นที่ x 2 วัน)</t>
  </si>
  <si>
    <t>การพัฒนาฐานข้อมูลให้เป็นปัจจุบัน 22 พื้นที่</t>
  </si>
  <si>
    <t>ค่าเอกสารประกอบ  (100 บาท  x 22 พื้นที่)</t>
  </si>
  <si>
    <t>ค่าเอกสารประกอบการสัมมนา (100 บาท x 30 คน)</t>
  </si>
  <si>
    <t>ค่าอาหารว่าง   (2 มื้อ)  (100 บาท x 30 คน )</t>
  </si>
  <si>
    <t>ค่าอาหารกลางวัน  (1 มื้อ)  (500 บาท x 30 คน)</t>
  </si>
  <si>
    <t>จัดประชุมผลการตรวจประเมินและสรุปข้อมูลในการลงพื้นที่ใน 22 พื้นที่ (ที่ศูนย์กรมโรงงานอุตสาหกรรม)</t>
  </si>
  <si>
    <t xml:space="preserve">จัดพิมพ์คู่มือศูนย์พัมนาอุตสาหกรรมเชิงนิเวศ </t>
  </si>
  <si>
    <t>ค่าออกแบบคู่มือ (10000 บาท x 1 งาน)</t>
  </si>
  <si>
    <t>ค่าที่พักเจ้าหน้าที่ (800 บาท x 1 ห้อง x 22 พื้นที่ x 1 ครั้ง)</t>
  </si>
  <si>
    <t>ค่าจัดพิมพ์คู่มือ (1100 ชุด x 250 บาท)</t>
  </si>
  <si>
    <t>ค่าจัดส่งคู่มือให้กลุ่มเป้าหมาย (610 ชุด x 50 บาท)</t>
  </si>
  <si>
    <t>ค่าทำ CD เผยแพร่ข้อมูล 708 แผ่น x 10 บาท</t>
  </si>
  <si>
    <t>อัตราจ้าง</t>
  </si>
  <si>
    <t>จำนวน</t>
  </si>
  <si>
    <t>ระยะเวลา</t>
  </si>
  <si>
    <t>ค่าใช้จ่ายรวม</t>
  </si>
  <si>
    <t>หมายเหตุ</t>
  </si>
  <si>
    <r>
      <t xml:space="preserve">ต่อหน่วย </t>
    </r>
    <r>
      <rPr>
        <sz val="14"/>
        <rFont val="TH SarabunPSK"/>
        <family val="2"/>
      </rPr>
      <t>(บาท)</t>
    </r>
  </si>
  <si>
    <t>(คน)</t>
  </si>
  <si>
    <t>(เดือน)</t>
  </si>
  <si>
    <t>วัน</t>
  </si>
  <si>
    <t>งบบุคลากร</t>
  </si>
  <si>
    <t>ผู้จัดการโครงการ ประสบการณ์ไม่น้อยกว่า ๑๐ ปี</t>
  </si>
  <si>
    <t>(วุฒิไม่ต่ำกว่าปริญญาโท ในสาขาวิทยาศาสตร์ วิศวกรรมศาสตร์ สิ่งแวดล้อม หรือสาขาอื่น ๆ ที่เกี่ยวข้อง)</t>
  </si>
  <si>
    <t>ผู้เชี่ยวชาญด้านการจัดการสิ่งแวดล้อมหรือคุณภาพน้ำ  ประสบการณ์ไม่น้อยกว่า ๑๐ ปี</t>
  </si>
  <si>
    <t xml:space="preserve">(ไม่ต่ำกว่าปริญญาโท ในสาขาวิทยาศาสตร์ หรือวิศวกรรมศาสตร์ด้านสิ่งแวดล้อม หรือที่เกี่ยวข้อง ) </t>
  </si>
  <si>
    <t>วิศวกร ประสบการณ์ 5 ปีขึ้นไป</t>
  </si>
  <si>
    <t xml:space="preserve">(ไม่ต่ำกว่าปริญญาตรี ในสาขา วิศวกรรมศาสตร์สิ่งแวดล้อมหรือที่เกี่ยวข้อง) </t>
  </si>
  <si>
    <t>นักวิทยาศาสตร์ ประสบการณ์ 5 ปีขึ้นไป</t>
  </si>
  <si>
    <t xml:space="preserve">(ไม่ต่ำกว่าปริญญาตรี ในสาขา วิทยาศาสตร์สิ่งแวดล้อมหรือที่เกี่ยวข้อง) </t>
  </si>
  <si>
    <t>เจ้าหน้าที่เก็บข้อมูลภาคสนาม ประสบการณ์ 5 ปีขึ้นไป</t>
  </si>
  <si>
    <t xml:space="preserve">(ไม่ต่ำกว่าปริญญาตรี ในสาขา วิศวกรรมสิ่งแวดล้อม/วิทยาศาสตร์สิ่งแวดล้อมหรือที่เกี่ยวข้อง) </t>
  </si>
  <si>
    <t>งบดำเนินการ</t>
  </si>
  <si>
    <t>- ค่าจัดเตรียมเอกสารประกอบการประชุม</t>
  </si>
  <si>
    <t>ค่าจัดทำรายงาน</t>
  </si>
  <si>
    <t>- รายงานฉบับที่ 1</t>
  </si>
  <si>
    <t>10 ชุด</t>
  </si>
  <si>
    <t>- รายงานฉบับที่ 2</t>
  </si>
  <si>
    <t>- รายงานฉบับที่ 3</t>
  </si>
  <si>
    <t>10ชุด</t>
  </si>
  <si>
    <t>- รายงานฉบับที่ 4 และบทสรุปผู้บริหาร</t>
  </si>
  <si>
    <t>15ชุด</t>
  </si>
  <si>
    <t>ค่าติดต่อสื่อสารและเบ็ดเตล็ด</t>
  </si>
  <si>
    <t>รวมทั้งสิ้น</t>
  </si>
  <si>
    <t xml:space="preserve">   </t>
  </si>
  <si>
    <t xml:space="preserve">(ไม่ต่ำกว่าปริญญาตรี ในสาขาวิศวกรรมศาสตร์สิ่งแวดล้อมหรือที่เกี่ยวข้อง) </t>
  </si>
  <si>
    <t xml:space="preserve">(ไม่ต่ำกว่าปริญญาตรี ในสาขาวิทยาศาสตร์สิ่งแวดล้อมหรือที่เกี่ยวข้อง) </t>
  </si>
  <si>
    <t>นักเศรษฐศาสตร์</t>
  </si>
  <si>
    <t>(ไม่ต่ำกว่าปริญญาตรี ในสาขา วิศวกรรมสิ่งแวดล้อม</t>
  </si>
  <si>
    <t xml:space="preserve">/วิทยาศาสตร์สิ่งแวดล้อมหรือที่เกี่ยวข้อง) </t>
  </si>
  <si>
    <t>- ค่าสถานที่</t>
  </si>
  <si>
    <t>- ค่าอาหาร</t>
  </si>
  <si>
    <t>1 มื้อ</t>
  </si>
  <si>
    <t>- ค่าอาหารว่างและเครื่องดื่ม</t>
  </si>
  <si>
    <t>2 มื้อ</t>
  </si>
  <si>
    <t>- ค่าที่พัก</t>
  </si>
  <si>
    <t>- ค่าพาหนะ (รถตู้รวมค่าน้ำมัน)</t>
  </si>
  <si>
    <t>15 ชุด</t>
  </si>
  <si>
    <t>หมายเหตุ  * เก็บตัวอย่างน้ำเสียก่อนเข้าระบบและออกจากระบบ จำนวน 2 ซ้ำ รวมตัวอย่าง 56 ตัวอย่าง</t>
  </si>
  <si>
    <t xml:space="preserve">ค่าใช้จ่ายโครงการศึกษาและจัดทำแผนแม่บทการจัดการสารเคมีและวัตถุอันตราย
งบประมาณรวม 2,000,000 บาท </t>
  </si>
  <si>
    <t>การศึกษา รวบรวม วิเคราะห์ข้อมูล และยกร่างแผนแม่บทฯ</t>
  </si>
  <si>
    <t>1.1 บุคลากรดำเนินงาน</t>
  </si>
  <si>
    <t>คุณวุฒิ/ประสบการณ์ (ปี)</t>
  </si>
  <si>
    <t>จำนวน (คน)</t>
  </si>
  <si>
    <t>อัตราต่อเดือน</t>
  </si>
  <si>
    <t>จำนวนเดือน</t>
  </si>
  <si>
    <t>รวมเงิน (บาท)</t>
  </si>
  <si>
    <t>ปริญญาโท/ประสบการณ์ 10 ปี</t>
  </si>
  <si>
    <t>1</t>
  </si>
  <si>
    <t>ผู้เชี่ยวชาญด้านวิจัยเชิงนโยบายและจัดทำยุทธศาสตร์</t>
  </si>
  <si>
    <t>ปริญญาโท/ประสบการณ์ 7 ปี</t>
  </si>
  <si>
    <t>ผู้เชี่ยวชาญด้านกฎระเบียบสารเคมี</t>
  </si>
  <si>
    <t>ผู้เชี่ยวชาญด้านงานวิจัยเชิงนโยบายและบริหารจัดการโครงการ</t>
  </si>
  <si>
    <t>เจ้าหน้าที่บันทึกข้อมูล</t>
  </si>
  <si>
    <t>ปริญญาตรี/ประสบการณ์ 1 ปี</t>
  </si>
  <si>
    <t>ปริญญาโท/ประสบการณ์ 2 ปี</t>
  </si>
  <si>
    <t>ผู้ช่วยงานวิจัย</t>
  </si>
  <si>
    <t>อัตรา</t>
  </si>
  <si>
    <t>หน่วย</t>
  </si>
  <si>
    <t>ค่าเช่าสถานที่จัดประชุมหารือกับหน่วยงานที่เกี่ยวข้อง</t>
  </si>
  <si>
    <t>ครั้ง</t>
  </si>
  <si>
    <t>ค่าอาหาร</t>
  </si>
  <si>
    <t>ชุด</t>
  </si>
  <si>
    <t>ค่าเดินทาง</t>
  </si>
  <si>
    <t>ค่าดำเนินการเพื่อเข้าถึงข้อมูล (เช่น ค่าลงทะเบียนเพื่อเข้าดูข้อมูล หรือเข้าร่วมประชุม)</t>
  </si>
  <si>
    <t>การติดต่อประสานงานกับต่างประเทศ</t>
  </si>
  <si>
    <t>2.1 ค่าจัดการประชุมสัมมนาเจ้าหน้าที่จากหน่วยงานรับผิดชอบภายใต้พระราชบัญญัติวัตถุอันตรายฯ จำนวน 30 คน 2 ครั้ง</t>
  </si>
  <si>
    <t>ค่าสถานที่จัดประชุม</t>
  </si>
  <si>
    <t>ค่าอาหารว่าง + ค่าอาหารกลางวัน (1 มื้อ + 2 เบรค)</t>
  </si>
  <si>
    <t>ค่าวิทยากร (ชั่วโมงละ 1,200 x 7)</t>
  </si>
  <si>
    <t>ชั่วโมง</t>
  </si>
  <si>
    <t>ค่าอุปกรณ์ เอกสาร (60 ชุด)</t>
  </si>
  <si>
    <t>2.2 ค่าจัดการประชุมเผยแพร่ร่างแผนแม่บทและรับฟังข้อเสนอจากผู้ที่เกี่ยวข้อง จำนวน 200 คน 1 ครั้ง</t>
  </si>
  <si>
    <t>ค่าสถานที่</t>
  </si>
  <si>
    <t>ค่าอาหารว่าง + อาหารกลางวัน (1 มื้อ + 2 เบรค)</t>
  </si>
  <si>
    <t>ค่าวิทยากร</t>
  </si>
  <si>
    <t>ค่าอุปกรณ์ เอกสาร</t>
  </si>
  <si>
    <t>เบ็ดเตล็ด</t>
  </si>
  <si>
    <t>แผนการดำเนินงานโครงการ</t>
  </si>
  <si>
    <t>เล่ม</t>
  </si>
  <si>
    <t>รายงานฉบับต้น</t>
  </si>
  <si>
    <t>รายงานฉบับกลาง</t>
  </si>
  <si>
    <t>ร่างรายงานฉบับสมบูรณ์</t>
  </si>
  <si>
    <t>รายงานฉบับสมบูรณ์</t>
  </si>
  <si>
    <t>แผนแม่บทการจัดการสารเคมีและวัตถุอันตราย</t>
  </si>
  <si>
    <t>รวมเป็นเงินทั้งสิ้น</t>
  </si>
  <si>
    <t>ค่าดำเนินการเพื่อศึกษาและจัดทำหลักเกณฑ์การจัดหมวดหมู่สารเคมีในทำเนียบฯ</t>
  </si>
  <si>
    <t>ผู้เชี่ยวชาญด้านพิษวิทยาและการประเมินความเสี่ยงสารเคมี</t>
  </si>
  <si>
    <t>ผู้เชี่ยวชาญด้านการจำแนกความเป็นอันตรายของสารเคมี</t>
  </si>
  <si>
    <t>ผู้เชี่ยวชาญด้านการพัฒนาฐานข้อมูลสารเคมี</t>
  </si>
  <si>
    <t>ปริญญาโท/ประสบการณ์ 3 ปี</t>
  </si>
  <si>
    <t>ค่าอุปกรณ์ เอกสาร (30 ชุด)</t>
  </si>
  <si>
    <t xml:space="preserve">ประเทศที่มีการดำเนินการเป็นที่ยอมรับของนานาประเทศ  </t>
  </si>
  <si>
    <t>ประเทศที่เป็นคู่ค้าสำคัญของไทย</t>
  </si>
  <si>
    <t>ประเทศที่มีการดำเนินการคล้ายประเทศไทย</t>
  </si>
  <si>
    <t>ค่าใช้จ่ายในการปรับปรุงทำเนียบสารเคมีของประเทศไทย</t>
  </si>
  <si>
    <t>ค่าเอกสารรายงาน</t>
  </si>
  <si>
    <t>คู่มือการตรวจสอบความถูกต้องข้อมูลสารเคมี สำหรับเจ้าหน้าที่</t>
  </si>
  <si>
    <t>คู่มือการตรวจสอบความถูกต้องข้อมูลสารเคมี สำหรับผู้ประกอบการ</t>
  </si>
  <si>
    <t xml:space="preserve">โครงการพัฒนาเมืองอุตสาหกรรมเชิงนิเวศ 
ในเขตพื้นที่ระเบียงเศรษฐกิจภาคตะวันออก (EEC) (ชลบุรี ระยอง ฉะเชิงเทรา)
</t>
  </si>
  <si>
    <t xml:space="preserve"> - สถานที่ประชุม (1 สถานที่ x 5000บาท)</t>
  </si>
  <si>
    <t xml:space="preserve"> - ค่าอาหารว่าง (20 คน x 2 มื้อ x 50 บาท)</t>
  </si>
  <si>
    <t xml:space="preserve"> - ค่าอาหารกลางวัน ( 20 คน x 500 บาท)</t>
  </si>
  <si>
    <t xml:space="preserve"> - ค่าเอกสารประกอบการประชุม (20 ชุด x 70 บาท)</t>
  </si>
  <si>
    <t xml:space="preserve"> บุคลากร</t>
  </si>
  <si>
    <t xml:space="preserve"> - ผู้จัดการโครงการ ป.โท ประสบการณ์อย่างน้อย 15 ปี (1 คน x 70,000 บาท/เดือน x 1 เดือน)</t>
  </si>
  <si>
    <t xml:space="preserve"> - ผู้เชี่ยวชาญด้านการวางแผนพัฒนาและแผนปฏิบัติการโครงการ ป.โท ประสบการณ์อย่างน้อย 10 ปี (2 คน x 50,000 บาท/เดือน x 2เดือน)</t>
  </si>
  <si>
    <t xml:space="preserve"> - ผู้เชี่ยวชาญด้านการจัดการการอุตสาหกรรม ป.โท ประสบการณ์อย่างน้อย 10 ปี  (2 คน x 50,000 บาท/เดือน x 2เดือน)</t>
  </si>
  <si>
    <t xml:space="preserve"> - ผู้เชี่ยวชาญด้านเศรษฐกิจสังคม  ป.โท ประสบการณ์อย่างน้อย 10 ปี (2 คน x 50,000 บาท/เดือน x 2 เดือน)</t>
  </si>
  <si>
    <t xml:space="preserve"> - ผู้เชี่ยวชาญด้านสิ่งแวดล้อมและความปลอดภัย  ป.โท ประสบการณ์อย่างน้อย 10 ปี (2 คน x 50,000 บาท/เดือน x 2 เดือน)</t>
  </si>
  <si>
    <t xml:space="preserve"> - ผู้ดำเนินงานด้านการมีส่วนร่วมประชาชน  (2 คน x 30,000 บาท/เดือน x 5 เดือน)</t>
  </si>
  <si>
    <t xml:space="preserve"> - วิศวกร/นักวิทยาศาสตร์ด้านสิ่งแวดล้อม ป.ตรี (5 คน x 30,000 บาท/เดือน x 5 เดือน)</t>
  </si>
  <si>
    <t xml:space="preserve"> - ผู้ประสานงานโครงการ ป.ตรี  (5 คน x 12,000 บาท/เดือน x 8เดือน)</t>
  </si>
  <si>
    <t xml:space="preserve"> - เจ้าหน้าที่สนับสนุนโครงการ  ป.ตรี  (5 คน x 20,000 บาท/เดือน x 8 เดือน)</t>
  </si>
  <si>
    <t xml:space="preserve"> - สถานที่ประชุม (6 สถานที่ x 5000บาท)</t>
  </si>
  <si>
    <t xml:space="preserve"> - ค่าอาหารกลางวัน  ( 20 คน x 500 บาท)</t>
  </si>
  <si>
    <t xml:space="preserve"> - สถานที่จัดรับสมัคร (3 สถานที่ x 5000 บาท)</t>
  </si>
  <si>
    <t xml:space="preserve"> - ค่าอาหารว่าง (150 คน x 2 มื้อ x 50 บาท)</t>
  </si>
  <si>
    <t xml:space="preserve"> - ค่าอาหารกลางวัน  (150 คน x 500บาท)</t>
  </si>
  <si>
    <t xml:space="preserve"> - ค่าเอกสารประกอบการอบรม (150 คน x 70บาท)</t>
  </si>
  <si>
    <t xml:space="preserve"> - ค่าเดินทางเจ้าหน้าที่ (6 คัน x 2500 บาท)</t>
  </si>
  <si>
    <t xml:space="preserve"> - ค่าเบี้ยงเลี้ยงเจ้าหน้าที่ (2วัน x 10 คน x 240 บาท)</t>
  </si>
  <si>
    <t xml:space="preserve"> - ค่าที่พัก (10 คืน x 800 บาท)</t>
  </si>
  <si>
    <t xml:space="preserve"> - เอกสารประกอบการจัดรับสมัคร (20 ชุด x 70 บาท)</t>
  </si>
  <si>
    <t xml:space="preserve"> 4.1ให้คำปรึกษาเชิงลึกโดยโรงงานต้องได้รับการยกระดับอย่างน้อยจังหวัดละ 50 โรงงาน </t>
  </si>
  <si>
    <t>1) วิเคราะห์หาความต้องการพื้นที่เป้าหมาย</t>
  </si>
  <si>
    <t xml:space="preserve"> - สถานที่ประชุมวิเคราะห์ (30 สถานที่ x 5000 บาท)</t>
  </si>
  <si>
    <t xml:space="preserve"> - ค่าอาหารว่าง (30 สถานที่ x 50 คน x 2 มื้อ x 50 บาท)</t>
  </si>
  <si>
    <t xml:space="preserve"> - ค่าอาหารกลางวัน  (30 สถานที่ x 50 คน x 500บาท)</t>
  </si>
  <si>
    <t xml:space="preserve"> - ค่าเดินทางเจ้าหน้าที่ (60 คัน x 2500 บาท)</t>
  </si>
  <si>
    <t xml:space="preserve"> - ค่าเบี้ยงเลี้ยงเจ้าหน้าที่ (20วัน x 10 คน x 240 บาท)</t>
  </si>
  <si>
    <t xml:space="preserve"> - ค่าที่พัก (10 คืน x 10 คน x 800 บาท)</t>
  </si>
  <si>
    <t>2) ให้คำปรึกษาเชิงลึกในการปรับปรุงยกระดับให้กับโรงงาน</t>
  </si>
  <si>
    <t xml:space="preserve"> - ค่าที่พักผู้เชี่ยวชาญ  (2 คืน x 4 คน x 150 โรงงาน x 1200 บาท )</t>
  </si>
  <si>
    <t xml:space="preserve"> - เบี้ยเลี้ยงเจ้าหน้าที่สนับสนุน (4 วัน x 4 คน x 150 โรงงาน x 240 บาท)</t>
  </si>
  <si>
    <t xml:space="preserve"> - ค่าเช่ารถ รวมน้ำมัน  (2 วัน x 2 ครั้ง x 150 โรงงาน x 2500 บาท)</t>
  </si>
  <si>
    <t xml:space="preserve"> - ค่าจัดทำบทสรุปผู้บริหาร ( 150 เล่ม x 140 บาท)</t>
  </si>
  <si>
    <t xml:space="preserve"> 4.2 ส่งเสริมความเชื่อมโยงอุตสาหกรรมหลักกับชุมชนเพื่อให้เกิดการผลิตในระดับอุตสาหกรรม(เป้าหมาย 100 ราย x 20 สถานที่)</t>
  </si>
  <si>
    <t>1)  ทำการพัฒนารวบรวมเครื่องมือการประเมิน (Assessment tools) ในการประเมินคุณค่าที่สร้างขึ้น (Created Value) ในการทำกิจกรรม CSV</t>
  </si>
  <si>
    <t xml:space="preserve"> - ค่าวิทยากร  (1,200 บาท x20คนx คนละ 7 ชั่วโมง)</t>
  </si>
  <si>
    <t xml:space="preserve"> - ค่าเอกสารประกอบการประชุม (200 บาท x 100 คน x 20 สถานที่)</t>
  </si>
  <si>
    <t xml:space="preserve"> - ค่าสถานที่จัดประชุม (5000 บาท x 20 สถานที่)</t>
  </si>
  <si>
    <t xml:space="preserve"> - ค่าอาหารกลางวัน  (1 มื้อ)  (500 บาท x 100 คน x 20 สถานที่ )</t>
  </si>
  <si>
    <t xml:space="preserve"> - ค่าเบี้ยเลี้ยงเจ้าหน้าที่ (240 บาท x จำนวน 5 คน x 1 วัน x 20 สถานที่ )</t>
  </si>
  <si>
    <t xml:space="preserve"> - ค่ารถโดยสาร (รถตู้รวมค่าน้ำมัน) (2500บาท x 1 คัน x 1 วัน x 20 สถานที่)</t>
  </si>
  <si>
    <t>2) ทำการพัฒนารวบรวมเครื่องมือการประเมิน (Assessment tools) ในการประเมินคุณค่าที่สร้างขึ้น (Created Value) ในการทำกิจกรรม CSV</t>
  </si>
  <si>
    <t xml:space="preserve"> - ค่าที่พักผู้เชี่ยวชาญ  (2 คืน x 3 คน x 20 สถานที่x 1200 บาท)</t>
  </si>
  <si>
    <t xml:space="preserve"> - ค่าเอกสารในการรวบรวมข้อมูล (200 บาท x 2000 ชุด)</t>
  </si>
  <si>
    <t xml:space="preserve"> - ค่าเบี้ยเลี้ยงเจ้าหน้าที่ (240 บาท x จำนวน 4 คน x 10 วันx20 สถานที่)</t>
  </si>
  <si>
    <t xml:space="preserve"> - ค่ารถโดยสาร (รถตู้รวมค่าน้ำมัน)(2500บาท x 1วันx 20สถานที่)</t>
  </si>
  <si>
    <t xml:space="preserve"> - ค่าเอกสารสรุปการจัดทำเครื่องมือ( 200 ชุดx 3 จังหวัดx150 บาท)</t>
  </si>
  <si>
    <t xml:space="preserve"> - ค่าบทสรุปผู้บริหาร ( 140 ชุด x 3 จังหวัด x 100 บาท )</t>
  </si>
  <si>
    <t xml:space="preserve"> 4.3) จัดตั้งเครือข่ายอุตสาหกรรมเชิงนิเวศ (อย่างน้อย 20พื้นที่)</t>
  </si>
  <si>
    <t>1)  ประชุมเสริมสร้างความเข้าใจในพื้นที่เพื่อจัดตั้งเครือข่าย</t>
  </si>
  <si>
    <t xml:space="preserve"> - สถานที่ประชุมในพื้นที่ (20 สถานที่ x 5000 บาท)</t>
  </si>
  <si>
    <t xml:space="preserve"> - ค่าอาหารว่าง (20 สถานที่ x 50 คน x 2 มื้อ x 50 บาท)</t>
  </si>
  <si>
    <t xml:space="preserve"> - ค่าอาหารกลางวัน  (20 สถานที่ x 50 คน x 500บาท)</t>
  </si>
  <si>
    <t xml:space="preserve"> - ค่าเดินทางเจ้าหน้าที่ (20 คัน x 2500 บาท)</t>
  </si>
  <si>
    <t xml:space="preserve"> - ค่าเบี้ยงเลี้ยงเจ้าหน้าที่ (20 วัน x 10 คน x 240 บาท)</t>
  </si>
  <si>
    <t>2) ลงพื้นที่พัฒนาเครือข่าย</t>
  </si>
  <si>
    <t xml:space="preserve"> - ค่าที่พักผู้เชี่ยวชาญในการลงพื้นที่  (1 คืน x 5 คน x 20 สถานที่x 1200 บาท)</t>
  </si>
  <si>
    <t xml:space="preserve"> - ค่าเอกสารในการรวบรวมข้อมูล (200 บาท x 1000 ชุด)</t>
  </si>
  <si>
    <t xml:space="preserve"> - ค่าเบี้ยเลี้ยงเจ้าหน้าที่ (240 บาท x จำนวน 7 คน x 10 วันx 20 พื้นที่)</t>
  </si>
  <si>
    <t xml:space="preserve"> - ค่ารถโดยสาร (รถตู้รวมค่าน้ำมัน)(2500บาท x 1 วันx  20 พื้นที่)</t>
  </si>
  <si>
    <t>3) ค่าเอกสารการถอดบทเรียนของเครื่อข่าย</t>
  </si>
  <si>
    <t xml:space="preserve"> - ค่าเอกสารการถอดบทเรียนการทำเครือข่าย (60 ชุด x 3 จังหวัด x 150 บาท)</t>
  </si>
  <si>
    <t xml:space="preserve"> - ค่าบทสรุปผู้บริหาร ( 100 ชุด x 190 บาท )</t>
  </si>
  <si>
    <t xml:space="preserve">4.4) ยกระดับการกำกับดูแลโรงงานที่ต้องทำรายงาน EIA และ ESA (อย่างน้อย 30 โรงงาน) </t>
  </si>
  <si>
    <t>1) วิเคราะห์หาสภาพการกำกับปัจจุบัน</t>
  </si>
  <si>
    <t xml:space="preserve"> - สถานที่ประชุมวิเคราะห์ (6 สถานที่ x 5000 บาท)</t>
  </si>
  <si>
    <t xml:space="preserve"> - ค่าอาหารว่าง (6 สถานที่ x 50 คน x 2 มื้อ x 50 บาท)</t>
  </si>
  <si>
    <t xml:space="preserve"> - ค่าอาหารกลางวัน  (6 สถานที่ x 50 คน x 500บาท)</t>
  </si>
  <si>
    <t xml:space="preserve">       - ค่าเอกสารประกอบการอบรม (6 สถานที่ x 50 คน x 70บาท)</t>
  </si>
  <si>
    <t xml:space="preserve"> - ค่าเดินทางเจ้าหน้าที่ (12 คัน x 2500 บาท)</t>
  </si>
  <si>
    <t xml:space="preserve"> - ค่าเบี้ยงเลี้ยงเจ้าหน้าที่ (4 วัน x 10 คน x 240 บาท)</t>
  </si>
  <si>
    <t xml:space="preserve"> - ค่าที่พัก (2 คืน x 10 คน x 800 บาท)</t>
  </si>
  <si>
    <t>2) ยกระดับการกำกับดูแลโรงงานที่ต้องทำรายงาน EIA และ ESA</t>
  </si>
  <si>
    <t xml:space="preserve"> - ค่าที่พักผู้เชี่ยวชาญ  (2 คืน x 4 คน x 30 โรงงาน x 1200 บาท )</t>
  </si>
  <si>
    <t xml:space="preserve"> - เบี้ยเลี้ยงเจ้าหน้าที่สนับสนุน (4 วัน x 4 คน x 30 โรงงาน x 240 บาท)</t>
  </si>
  <si>
    <t xml:space="preserve"> - ค่าเช่ารถ รวมน้ำมัน  (2 วัน x 2 ครั้ง x 30 โรงงาน x 2500 บาท)</t>
  </si>
  <si>
    <t xml:space="preserve"> - ค่าจัดทำบทสรุปผู้บริหาร ( 30 เล่ม x 140 บาท)</t>
  </si>
  <si>
    <t>1) วิเคราะห์ทบทวนแผนฉุกเฉินเดิมของโรงงาน</t>
  </si>
  <si>
    <t xml:space="preserve">2) ปรับปรุงแผนควบคุมภาวะฉุกเฉินโรงงาน </t>
  </si>
  <si>
    <t xml:space="preserve"> 4.6) ส่งเสริมให้สถานประกอบการนำของเสียมาใช้ประโยชน์  (อย่างน้อย 30 โรงงาน) </t>
  </si>
  <si>
    <t>1) ประชุมโรงงานเพื่อชี้แจงให้ความรู้การส่งเสริม</t>
  </si>
  <si>
    <t xml:space="preserve"> - สถานที่ประชุมอบรม  (6 สถานที่ x 5000 บาท)</t>
  </si>
  <si>
    <t>2) เข้าไปส่งเสริมในสถานประกอบการเกี่ยวกับของเสีย</t>
  </si>
  <si>
    <t xml:space="preserve"> 4.7) พัฒนาระบบรับส่งข้อมูลที่รองรับการเชื่อมต่อจาก CEMs (ตัวอย่าง 30 แห่ง)</t>
  </si>
  <si>
    <t>1) วิเคราะห์ระบบรับส่งข้อมูลที่รองรับการเชื่อมต่อจาก CEMs เดิม</t>
  </si>
  <si>
    <t xml:space="preserve"> - สถานที่ประชุมวิเคราะห์  (6 สถานที่ x 5000 บาท)</t>
  </si>
  <si>
    <t>2) เข้าไปเก็บข้อมูล การเชื่อมต่อ CEMS</t>
  </si>
  <si>
    <t>3)  พัฒนาระบบ CEMS (เหมาจ่าย)</t>
  </si>
  <si>
    <t xml:space="preserve"> 4.8) ตรวจประเมินการจัดการกากอุตสาหกรรมของโรงงาน (อย่างน้อย 30 โรงงาน)</t>
  </si>
  <si>
    <t>1) ประชุมโรงงานเพื่อชี้แจงการตรวจประเมิน</t>
  </si>
  <si>
    <t xml:space="preserve"> - สถานที่ประชุมชี้แจง  (6 สถานที่ x 5000 บาท)</t>
  </si>
  <si>
    <t>2) ตรวจประเมินการจัดการกากอุตสาหกรรมของโรงงาน</t>
  </si>
  <si>
    <t>4.9) ปรับปรุงผังเมืองรวม ผังพื้นที่เฉพาะ และผังการใช้ประโยชน์(ตัวอย่าง 10 พื้นที่)</t>
  </si>
  <si>
    <t>1) พัฒนารวบรวมรูปแบบการปรับปรุงผังเมือง</t>
  </si>
  <si>
    <t xml:space="preserve"> - ค่าวิทยากร  (1,200 บาท x10คนx คนละ 7 ชั่วโมง)</t>
  </si>
  <si>
    <t xml:space="preserve"> - ค่าเอกสารประกอบการประชุม (200 บาท x 100 คน x 10 สถานที่)</t>
  </si>
  <si>
    <t xml:space="preserve"> - ค่าสถานที่จัดประชุม (5000 บาท x 10 สถานที่)</t>
  </si>
  <si>
    <t xml:space="preserve">      - ค่าอาหารว่าง   (2 มื้อ)  (100 บาท x 100 คนx 10 สถานที่ )</t>
  </si>
  <si>
    <t xml:space="preserve"> - ค่าอาหารกลางวัน  (1 มื้อ)  (500 บาท x 100 คน x 10 สถานที่ )</t>
  </si>
  <si>
    <t xml:space="preserve"> - ค่าเบี้ยเลี้ยงเจ้าหน้าที่ (240 บาท x จำนวน 5 คน x 1 วัน x 10 สถานที่ )</t>
  </si>
  <si>
    <t xml:space="preserve"> - ค่ารถโดยสาร (รถตู้รวมค่าน้ำมัน) (2500บาท x 1 คัน x 1 วัน x 10 สถานที่)</t>
  </si>
  <si>
    <t>2) ร่วมปรับปรุงผังเมืองรวม ผังพื้นที่เฉพาะ และผังการใช้ประโยชน์ กับกรมโยธาธิการและผังเมือง</t>
  </si>
  <si>
    <t xml:space="preserve"> - ค่าที่พักผู้เชี่ยวชาญ  (2 คืน x 3 คน x 10 สถานที่x 1200 บาท)</t>
  </si>
  <si>
    <t xml:space="preserve"> - ค่าเบี้ยเลี้ยงเจ้าหน้าที่ (240 บาท x จำนวน 4 คน x 10 วันx10 สถานที่)</t>
  </si>
  <si>
    <t xml:space="preserve">       - ค่าที่พักเจ้าหน้าที่ (800 บาท x 2 ห้อง x 5 คืนx 10 สถานที่)</t>
  </si>
  <si>
    <t xml:space="preserve"> - ค่ารถโดยสาร (รถตู้รวมค่าน้ำมัน)(2500บาท x 1วันx 10สถานที่)</t>
  </si>
  <si>
    <t xml:space="preserve"> - ค่าเอกสารสรุปการจัดทำการปรับปรุง( 300 ชุด150 บาท)</t>
  </si>
  <si>
    <t xml:space="preserve"> - ค่าบทสรุปผู้บริหาร (210 ชุด x 100 บาท )</t>
  </si>
  <si>
    <t xml:space="preserve"> 4.10) ตรวจประเมินและป้องกันแก้ไขปัญหาการจัดการของเสียจากโรงงานอุตสาหกรรม</t>
  </si>
  <si>
    <t>2) ตรวจประเมินการจัดการของเสียจากโรงงานอุตสาหกรรม</t>
  </si>
  <si>
    <t xml:space="preserve"> - ค่าเอกสารสรุปการจัดทำโครงการ( 300 ชุด150 บาท)</t>
  </si>
  <si>
    <t xml:space="preserve"> 4.11) ตรวจประเมินและป้องกันแก้ไขปัญหามลพิษทางอากาศจากโรงงานอุตสาหกรรม</t>
  </si>
  <si>
    <t xml:space="preserve"> 4.12) ฝึกการจัดการกากอุตสาหกรรมและเฝ้าระวังการลักลอบทิ้ง(อย่างน้อย 6 สถานที่ 30 โรงงาน)</t>
  </si>
  <si>
    <t>1) วิเคราะห์การจัดการกากอุตสาหกรรมในปัจจุบัน</t>
  </si>
  <si>
    <t xml:space="preserve"> - สถานที่ประชุม  (6 สถานที่ x 5000 บาท)</t>
  </si>
  <si>
    <t xml:space="preserve">       - ค่าจัดทำรายงานผลโครงการ(30เล่ม x 240บาท)</t>
  </si>
  <si>
    <t xml:space="preserve"> 4.13) พัฒนาห่วงโซ่อุปทานอุตสาหกรรมทางการเกษตร ในการจัดการสิ่งแวดล้อม </t>
  </si>
  <si>
    <t>1) วิเคราะห์ห่วงโซ่อุปทานอุตสาหกรรมทางการเกษตร ในการจัดการสิ่งแวดล้อมในปัจจุบัน</t>
  </si>
  <si>
    <t>2) พัฒนาห่วงโซ่อุปทานอุตสาหกรรมทางการเกษตรโดยการลงพื้นที่ในอุตสาหกรรมการเกษตร</t>
  </si>
  <si>
    <t xml:space="preserve"> - ค่าเอกสารสรุปการดำเนินโครงการ ( 300 ชุด150 บาท)</t>
  </si>
  <si>
    <t xml:space="preserve"> 4.14) วิเคราะห์หาความเหมาะสมในการย้ายโรงงานอุตสาหกรรมและการพัฒนาเขตพื้นที่ใหม่รองรับในกลุ่มคลัสเตอร์อุตสาหกรรม</t>
  </si>
  <si>
    <t>1) ประชุมวิเคราะห์หาพื้นที่ในการโยกย้ายโรงงาน</t>
  </si>
  <si>
    <t>2) วิเคราะห์หาความเหมาะสมในการย้ายโรงงานอุตสาหกรรม</t>
  </si>
  <si>
    <t xml:space="preserve"> 4.15) ส่งเสริมโรงงานใกล้แหล่งท่องเที่ยวจัดทำแนวป้องกันมลพิษ(อย่างน้อย 30 โรงงาน)</t>
  </si>
  <si>
    <t>1) ประชุมโรงงานเพื่อชี้แจงให้ความรู้การส่งเสริมการทำแนวป้องกันมลพิษ</t>
  </si>
  <si>
    <t>2) เข้าไปส่งเสริมในสถานประกอบการเกี่ยวกับจัดทำแนวป้องกันมลพิษ</t>
  </si>
  <si>
    <t xml:space="preserve"> 4.16) เฝ้าระวังและตรวจวัดคุณภาพสิ่งแวดล้อมในโรงงานเป้าหมายที่มีมลพิษมาก(อย่างน้อย 30 โรงงาน) </t>
  </si>
  <si>
    <t>1) วิเคราะห์คุณภาพสิ่งแวดล้อมในโรงงานเป้าหมายที่มีมลพิษมากในปัจจุบัน</t>
  </si>
  <si>
    <t>2) เข้าเฝ้าระวังและตรวจวัดคุณภาพสิ่งแวดล้อมในโรงงานเป้าหมาย</t>
  </si>
  <si>
    <t xml:space="preserve"> 4.17) ส่งเสริมการผลิตที่ลดอัตราก๊าซเรือนกระจก โดยการเชิญชวนให้ความรู้และสนับสนุนแผนงาน (อย่างน้อย 30 โรงงาน) </t>
  </si>
  <si>
    <t>1) ประชุมโรงงานเพื่อชี้แจงให้ความรู้การส่งเสริมการผลิตที่ลดอัตราก๊าซเรือนกระจก</t>
  </si>
  <si>
    <t>2) เข้าไปส่งเสริมส่งเสริมการผลิตที่ลดอัตราก๊าซเรือนกระจก โดยการเชิญชวนให้ความรู้และสนับสนุนแผนงาน</t>
  </si>
  <si>
    <t xml:space="preserve"> - ค่าจัดทำบทสรุปผู้บริหาร ( 100 เล่ม x 108 บาท)</t>
  </si>
  <si>
    <t>3) ให้ความรู้ในด้านการผลิตที่ลดอัตราก๊าซเรือนกระจก (4 พื้นที่ พื้นที่ละ 60 คน )</t>
  </si>
  <si>
    <t xml:space="preserve"> - ค่าวิทยากร  (1,200 บาท x 8 คน คนละ 7 ชั่วโมง)</t>
  </si>
  <si>
    <t xml:space="preserve"> - ค่าเอกสารประกอบการประชุม (200 บาท x 240 คน)</t>
  </si>
  <si>
    <t xml:space="preserve"> - ค่าสถานที่จัดประชุม (5000 บาท)</t>
  </si>
  <si>
    <t xml:space="preserve">  - ค่าอาหารกลางวัน  (1 มื้อ)  (500 บาท x 240 คน)</t>
  </si>
  <si>
    <t xml:space="preserve">  - ค่าเบี้ยเลี้ยงเจ้าหน้าที่ (240 บาท x จำนวน 5คน 16 วัน)</t>
  </si>
  <si>
    <t xml:space="preserve">  - ค่าที่พักเจ้าหน้าที่ (800 บาท x 3 ห้อง x 8 คืน)</t>
  </si>
  <si>
    <t xml:space="preserve">  - ค่ารถโดยสาร (รถตู้รวมค่าน้ำมัน) (2500บาท x 16 วัน)</t>
  </si>
  <si>
    <t xml:space="preserve"> 4.18) กำกับดูแลโรงงานเพื่อบริหารจัดการด้านสิ่งแวดล้อมและความปลอดภัยที่ดี(อย่างน้อย 30 โรงงาน)</t>
  </si>
  <si>
    <t>1) วิเคราะห์กำกับดูแลโรงงานปัจจุบัน</t>
  </si>
  <si>
    <t xml:space="preserve"> - สถานที่ประชุมวิเคราะห์การกำกับ (6 สถานที่ x 5000 บาท)</t>
  </si>
  <si>
    <t>2) เข้ากำกับดูแลโรงงานเพื่อบริหารจัดการด้านสิ่งแวดล้อมและความปลอดภัยที่ดี</t>
  </si>
  <si>
    <t xml:space="preserve"> 4.19)  จัดทำประวัติกากอุตสาหกรรม(อย่างน้อย 20 พื้นที่)</t>
  </si>
  <si>
    <t>1)  ประชุมหาแนวทางการจัดทำประวัติ</t>
  </si>
  <si>
    <t>2) จัดทำประวัติกากอุตสาหกรรม</t>
  </si>
  <si>
    <t xml:space="preserve"> - ค่าเอกสารการถอดบทเรียนการจัดทำประวัติ (60 ชุด x 3 จังหวัด x 150 บาท)</t>
  </si>
  <si>
    <t xml:space="preserve"> 4.20) วิเคราะห์ความเหมาะสมในการทำ recycling complex (อย่างน้อย 75 โรงงาน)</t>
  </si>
  <si>
    <t xml:space="preserve"> - สถานที่ประชุมวิเคราะห์ (15 สถานที่ x 5000 บาท)</t>
  </si>
  <si>
    <t xml:space="preserve"> - ค่าอาหารว่าง (15 สถานที่ x 50 คน x 2 มื้อ x 50 บาท)</t>
  </si>
  <si>
    <t xml:space="preserve"> - ค่าอาหารกลางวัน  (15 สถานที่ x 50 คน x 500บาท)</t>
  </si>
  <si>
    <t xml:space="preserve"> - ค่าเดินทางเจ้าหน้าที่ (30 คัน x 2500 บาท)</t>
  </si>
  <si>
    <t xml:space="preserve"> - ค่าเบี้ยงเลี้ยงเจ้าหน้าที่ (10 วัน x 10 คน x 240 บาท)</t>
  </si>
  <si>
    <t xml:space="preserve"> - ค่าที่พัก (5 คืน x 10 คน x 800 บาท)</t>
  </si>
  <si>
    <t xml:space="preserve">2) วิเคราะห์ความเหมาะสมในการทำ recycling complex </t>
  </si>
  <si>
    <t xml:space="preserve"> - ค่าที่พักผู้เชี่ยวชาญ  (2 คืน x 4 คน x 75 โรงงาน x 1200 บาท )</t>
  </si>
  <si>
    <t xml:space="preserve"> - เบี้ยเลี้ยงเจ้าหน้าที่สนับสนุน (4 วัน x 4 คน x 75 โรงงาน x 240 บาท)</t>
  </si>
  <si>
    <t xml:space="preserve"> - ค่าเช่ารถ รวมน้ำมัน  (2 วัน x 2 ครั้ง x 75 โรงงาน x 2500 บาท)</t>
  </si>
  <si>
    <t xml:space="preserve"> - ค่าจัดทำบทสรุปผู้บริหาร ( 75 เล่ม x 140 บาท)</t>
  </si>
  <si>
    <t xml:space="preserve"> - ค่าเดินทางเจ้าหน้าที่ (10 คัน x 2500 บาท)</t>
  </si>
  <si>
    <t xml:space="preserve"> - ค่าเบี้ยงเลี้ยงเจ้าหน้าที่ (1 คน x 2 วัน x 50 โรงงาน )</t>
  </si>
  <si>
    <t xml:space="preserve"> - ค่าที่พัก (50 คืน x 800 บาท)</t>
  </si>
  <si>
    <t xml:space="preserve"> - เอกสารประกอบการประเมิน (100 ชุด x 70 บาท)</t>
  </si>
  <si>
    <t xml:space="preserve"> - ค่าอาหารว่าง (40 คน x 3 พื้นที่ x 2 มื้อ x 50บาท  )</t>
  </si>
  <si>
    <t xml:space="preserve"> - ค่าเอกสารประกอบการอบรม (120 คน x 70บาท)</t>
  </si>
  <si>
    <t xml:space="preserve"> - ค่าเดินทางเจ้าหน้าที่ (3 คัน x 2500 บาท)</t>
  </si>
  <si>
    <t xml:space="preserve">จัดทำเอกสารสรุปผลการดำเนินการเพื่อรายงานและประชาสัมพันธ์ผลการดำเนินการพัฒนาเมืองอุตสาหกรรมเชิงนิเวศ </t>
  </si>
  <si>
    <t xml:space="preserve"> - ค่าเอกสารสรุปโครงการ (60 เล่ม x 250 บาท)</t>
  </si>
  <si>
    <t xml:space="preserve">โครงการพัฒนาเมืองอุตสาหกรรมเชิงนิเวศ 
ในเขตพื้นที่อุตสาหกรรมหนาแน่น (จังหวัดสมุทรปราการ สมุทรสาคร นครปฐม และปทุมธานี)
</t>
  </si>
  <si>
    <t>1. หมวดค่าใช้จ่าย</t>
  </si>
  <si>
    <t>2. หมวดค่าดำเนินการ</t>
  </si>
  <si>
    <t>ค่าเอกสารประกอบการประชุม (70บาท x 50คน x 2ครั้ง x 4พท.)</t>
  </si>
  <si>
    <t>ค่าสถานที่จัดประชุม (5000 บาท x 2 ครั้ง x 4พท.)</t>
  </si>
  <si>
    <t>ค่าอาหารว่าง  (2 มื้อ)   (50 บาท x 50 คน  x  8 ครั้ง)</t>
  </si>
  <si>
    <t>ค่าอาหารกลางวัน  (1 มื้อ)   (500 บาท x 50 คน x 8 ครั้ง)</t>
  </si>
  <si>
    <t>ค่าเบี้ยเลี้ยงเจ้าหน้าที่ (240 บาท x จำนวน 10 คน x 8 วัน)</t>
  </si>
  <si>
    <t>ค่าที่พักเจ้าหน้าที่ (800 บาท x 5 ห้อง  x 2 คืน )</t>
  </si>
  <si>
    <t>ค่ารถโดยสาร (รถตู้รวมค่าน้ำมัน) (2500บาท x 4วัน)</t>
  </si>
  <si>
    <t xml:space="preserve"> - สถานที่จัดรับสมัคร (4 สถานที่ x 5000 บาท)</t>
  </si>
  <si>
    <t xml:space="preserve"> - ค่าอาหารว่าง (200 คน x 2 มื้อ x 50 บาท)</t>
  </si>
  <si>
    <t xml:space="preserve"> - ค่าอาหารกลางวัน  (200 คน x 500บาท)</t>
  </si>
  <si>
    <t xml:space="preserve"> - ค่าเอกสารประกอบการอบรม (200 คน x 70บาท)</t>
  </si>
  <si>
    <t xml:space="preserve"> - ค่าเดินทางเจ้าหน้าที่ (8 คัน x 2500 บาท)</t>
  </si>
  <si>
    <t xml:space="preserve"> - ค่าเบี้ยงเลี้ยงเจ้าหน้าที่ (2 วัน x 10 คน x 240 บาท)</t>
  </si>
  <si>
    <t xml:space="preserve"> - เอกสารประกอบการจัดรับสมัคร (200 ชุด x 70 บาท)</t>
  </si>
  <si>
    <t>ค่าเอกสารประกอบการประชุม (70 บาท x 50 คน x 2 ครั้ง)</t>
  </si>
  <si>
    <t>ค่าอาหารว่าง    (50 บาท x 50 คน  x  4 ครั้ง)</t>
  </si>
  <si>
    <t>ค่าอาหารกลางวัน  (2 มื้อ)  (500 บาท x 50 คน x 2 ครั้ง)</t>
  </si>
  <si>
    <t>ค่าเบี้ยเลี้ยงเจ้าหน้าที่ (240 บาท x จำนวน 10 คน x 4 วัน)</t>
  </si>
  <si>
    <t>ค่ารถโดยสาร (รถตู้รวมค่าน้ำมัน) (2500บาท x 4 วัน)</t>
  </si>
  <si>
    <t xml:space="preserve">การพัฒนาฐานข้อมูลให้เป็นปัจจุบันและดำเนินการประชาสัมพันธ์ </t>
  </si>
  <si>
    <t xml:space="preserve">พัฒนาศูนย์ติดตามฯ </t>
  </si>
  <si>
    <t>ออกแบบพื้นที่สีเขียวและแนวกันชน ออกแบบโครงสร้างพื้นฐานและระบบสาธารณูปโภค</t>
  </si>
  <si>
    <t xml:space="preserve"> - ค่าโดยรถตู้เจ้าหน้าที่ (รวมค่าน้ำมัน)  (10 คัน x 2500 บาท)</t>
  </si>
  <si>
    <t xml:space="preserve"> - ค่าเบี้ยเลี้ยงเจ้าหน้าที่ (1 คน x 2 วัน x 200 โรงงาน )</t>
  </si>
  <si>
    <t xml:space="preserve"> - ค่าที่พัก (200 คืน x 800 บาท)</t>
  </si>
  <si>
    <t xml:space="preserve"> - เอกสารประกอบการประเมิน (200 ชุด x 70 บาท)</t>
  </si>
  <si>
    <t xml:space="preserve"> - พัฒนาเมืองอุตสาหกรรมเชิงนิเวศใหม่ (New Eco Industrial Town) เพื่อรองรับอุตสาหกรรม ในพื้นที่อุตสาหกรรมหนาแน่น </t>
  </si>
  <si>
    <t xml:space="preserve"> - ยกระดับการกำกับดูแลโรงงานเพื่อการบริหารจัดการด้านสิ่งแวดล้อมและความปลอดภัยที่ดี ในพื้นที่อุตสาหกรรมหนาแน่น</t>
  </si>
  <si>
    <t xml:space="preserve"> - เพิ่มประสิทธิภาพการใช้น้ำและการจัดการน้ำเสียในสถานประกอบการ ในพื้นที่อุตสาหกรรมหนาแน่น </t>
  </si>
  <si>
    <t xml:space="preserve"> - ส่งเสริมให้สถานประกอบการนำของเสียมาใช้ประโยชน์ และการพัฒนาธุรกิจรีไซเคิล/อัพไซเคิล เพื่อเพิ่มมูลค่าและใช้ประโยชน์กากอุตสาหกรรม ทั้งโรงงานทั่วไปและกลุ่มอุตสาหกรรมฟอกหนังมาใช้ประโยชน์เชิงพาณิชย์</t>
  </si>
  <si>
    <t xml:space="preserve"> - ส่งเสริมมาตรฐาน Leather Working Group (LWG) เพื่อยกระดับการจัดการสิ่งแวดล้อมและผลิตภัณฑ์</t>
  </si>
  <si>
    <t xml:space="preserve"> - ยกระดับแผนควบคุมภาวะฉุกเฉิน โรงงานอุตสาหกรรมนอกเขตพื้นที่นิคมอุตสาหกรรม</t>
  </si>
  <si>
    <t xml:space="preserve"> - ส่งเสริมความเชื่อมโยงอุตสาหกรรมหลักกับชุมชนเพื่อให้เกิดการผลิตในระดับอุตสาหกรรม ในพื้นที่อุตสาหกรรมหนาแน่น</t>
  </si>
  <si>
    <t xml:space="preserve"> - พัฒนาระบบติดตามคุณภาพน้ำแบบต่อเนื่อง (Water Online Monitoring)</t>
  </si>
  <si>
    <t xml:space="preserve"> - ตรวจประเมินและป้องกันแก้ไขปัญหามลพิษทางเสียง และฝุ่นฝ้ายจากโรงงานอุตสาหกรรม (กลุ่มอุตสาหกรรมฟอกย้อม) </t>
  </si>
  <si>
    <t xml:space="preserve"> - จัดทำรูปแบบการบริหารจัดการของภาคส่วนที่เกี่ยวข้องในเชิงบูรณาการเพื่อรองรับเมืองอุตสาหกรรมเชิงนิเวศที่เหมาะสม</t>
  </si>
  <si>
    <t xml:space="preserve"> - ตั้งศูนย์ข้อมูลกากอุตสาหกรรม เพื่อใช้ประโยชน์จากกากอุตสาหกรรม</t>
  </si>
  <si>
    <t xml:space="preserve"> - พัฒนาและส่งเสริม Symbiosis Model ของสวนอุตสาหกรรมบางกะดีกับชุมชน</t>
  </si>
  <si>
    <t xml:space="preserve"> - เพิ่มศักยภาพการปฏิบัติงานสนับสนุนเมืองอุตสาหกรรมเชิงนิเวศ</t>
  </si>
  <si>
    <t>ค่าวิทยากร  (1,200 บาท x คนละ ๗ ชั่วโมง x 4 วัน )</t>
  </si>
  <si>
    <t>ค่าเอกสารประกอบการประชุม (100 บาท x 200 คน )</t>
  </si>
  <si>
    <t>ค่าสถานที่จัดประชุม (5000 บาท x 4 วัน )</t>
  </si>
  <si>
    <t>ค่าอาหารว่าง   (2 มื้อ)  (50 บาท x 100 คน x 4 วัน)</t>
  </si>
  <si>
    <t>ค่าอาหารกลางวัน  (1 มื้อ)  (500 บาท x 100 คน x 4 วัน)</t>
  </si>
  <si>
    <t>ค่าที่พักเจ้าหน้าที่ (800 บาท x 10 ห้อง x 4 คืน)</t>
  </si>
  <si>
    <t>ค่าวิทยากร  (1,200 บาท x คนละ ๗ ชั่วโมง x 4 ครั้ง )</t>
  </si>
  <si>
    <t>ค่าเอกสารประกอบการประชุม (100 บาท x 50คน x 4 ครั้ง  )</t>
  </si>
  <si>
    <t>ค่าสถานที่จัดประชุม (5000 บาท x 4 ครั้ง  )</t>
  </si>
  <si>
    <t>ค่าอาหารว่าง   (2 มื้อ)  (50 บาท x 50 คน x 4 ครั้ง )</t>
  </si>
  <si>
    <t>ค่าอาหารกลางวัน  (1 มื้อ)  (500 บาท x 50 คน x 4 ครั้ง )</t>
  </si>
  <si>
    <t>ค่ารถโดยสาร (รถตู้รวมค่าน้ำมัน) (2500บาทx 8 วัน)</t>
  </si>
  <si>
    <t>ค่าวิทยากร  (1,200 บาท x 10 คนๆละ ๗ ชั่วโมง x 4 ครั้ง )</t>
  </si>
  <si>
    <t>ค่าเอกสารประกอบการประชุม (100 บาท x 50คน x 4ครั้ง  )</t>
  </si>
  <si>
    <t>ค่าอาหารว่าง (2 มื้อ)  (50 บาท x 50 คน x 4 ครั้ง )</t>
  </si>
  <si>
    <t>ค่าเบี้ยเลี้ยงเจ้าหน้าที่ (240 บาท x จำนวน 10คน x 8 วัน)</t>
  </si>
  <si>
    <t>ดำเนินการรวบรวม วิเคราะห์ข้อมูลที่เกี่ยวข้องกับการดำเนินงาน ตามข้อ 6.2 - 6.10 และจัดทำคู่มือ ตามข้อ 6.3 - 6.9</t>
  </si>
  <si>
    <t>คู่มือเครื่องมือในการยกระดับโรงงานฯ (เล่มละ 200 x 4 พื้นที่ๆ ละ 100 เล่ม)</t>
  </si>
  <si>
    <t>คู่มือแลกเปลี่ยนเรียนรู้ฯ (เล่มละ 200 x 4 พื้นที่ๆ ละ 100 เล่ม)</t>
  </si>
  <si>
    <t>คู่มือการออกแบบเมืองฯ  (เล่มละ 200 x 4 พื้นที่ๆ ละ 100 เล่ม)</t>
  </si>
  <si>
    <t>คู่มือการพัฒนาและตัวชี้วัดฯ(เล่มละ 200 x 4 พื้นที่ๆ ละ 100 เล่ม)</t>
  </si>
  <si>
    <t>คู่มือเครือข่าย eco network  (เล่มละ 200 x 4 พื้นที่ๆ ละ 100 เล่ม)</t>
  </si>
  <si>
    <t>คู่มือ eco school  (เล่มละ 200 x 4 พื้นที่ๆ ละ 100 เล่ม)</t>
  </si>
  <si>
    <t>เอกสารเผยแพร่ประชาสัมพันธ์ผลการดำเนินงานฯ  (เล่มละ 200 x 4 พื้นที่ๆ ละ 100 เล่ม)</t>
  </si>
  <si>
    <t>ค่าเบี้ยเลี้ยงเจ้าหน้าที่ (240 บาท x จำนวน 30 คน x 1 วัน)</t>
  </si>
  <si>
    <t>ค่ารถโดยสาร (รถตู้รวมค่าน้ำมัน) (2500บาท x 1 วัน x 4 คัน)</t>
  </si>
  <si>
    <t>โล่รางวัล</t>
  </si>
  <si>
    <t>ประกาศเกียรติบัตร</t>
  </si>
  <si>
    <t>ค่าที่พักเจ้าหน้าที่ (1200 บาท x 5 คน  x 16 คืน )</t>
  </si>
  <si>
    <t>6.3.2</t>
  </si>
  <si>
    <t xml:space="preserve">ยกระดับและพัฒนาโรงงานอุตสาหกรรมเดิมในพื้นที่เป้าหมาย 8 จังหวัด  100 โรงงาน </t>
  </si>
  <si>
    <t>เอกสารประกอบการอบรม  (200 บาท x 50 คน x 8 จังหวัด)</t>
  </si>
  <si>
    <t>ค่าสถานที่จัดประชุม (5000 บาท x 8 ครั้ง)</t>
  </si>
  <si>
    <t>ค่าเบี้ยเลี้ยงเจ้าหน้าที่ (240 บาท x 10 คน x 16 วัน)</t>
  </si>
  <si>
    <t>ค่าที่พักเจ้าหน้าที่ (1200 บาท x 10 คน x 8 คืน )</t>
  </si>
  <si>
    <t>ค่ารถโดยสาร (รถตู้รวมค่าน้ำมัน) (2500บาท  x 16วัน)</t>
  </si>
  <si>
    <t>ค่าเครื่องบินไป-กลับ (5000 บาท x 5 คน x 3 จังหวัด</t>
  </si>
  <si>
    <t>6.3.3</t>
  </si>
  <si>
    <t>ติดตามการประเมินผลปรับปรุงของโรงงานอุตสาหกรรมที่เข้าร่วมพร้อมทั้งสรุปผลการเข้าร่วมก่อนและหลัง</t>
  </si>
  <si>
    <t>ค่าเอกสารประกอบ (200 บาท x 50 คน x 8 จังหวัด)</t>
  </si>
  <si>
    <t>ค่าเบี้ยเลี้ยงเจ้าหน้าที่ (240 บาท x  5 คน 16 วัน)</t>
  </si>
  <si>
    <t>ค่าที่พักเจ้าหน้าที่ (1200 บาท x 5 คน x 8 คืน)</t>
  </si>
  <si>
    <t>ค่ารถโดยสาร (รถตู้รวมค่าน้ำมัน) (2500บาท x 16วัน)</t>
  </si>
  <si>
    <t>6.4.1</t>
  </si>
  <si>
    <t xml:space="preserve">การรับสมัครโรงงานอุตสาหกรรมใหม่เพิ่มเติมในพื้นที่เป้าหมายเข้าร่วมกิจกรรม </t>
  </si>
  <si>
    <t>อย่างน้อย 400 โรงงาน ใน 8 จังหวัด</t>
  </si>
  <si>
    <t>เชิญชวนให้โรงงานอุตสาหกรรมเข้าร่วมโครงการ</t>
  </si>
  <si>
    <t>ประชาสัมพันธ์ผ่านสื่อ (10000 บาท x 8 จังหวัด)</t>
  </si>
  <si>
    <t>ค่าจัดทำเอกสารและค่าซองเอกสารแนะนำโครงการ( 20 บาท x 400 ชุด)</t>
  </si>
  <si>
    <t>ค่าไปรษณีย์จัดส่งเอกสารแนะนำโครงการ (400 ชุด x 35 บาท)</t>
  </si>
  <si>
    <t>ค่าติดต่อสื่อสาร (400 โรงงาน X 200 บาท)</t>
  </si>
  <si>
    <t>การรับสมัครโรงงานอุตสาหกรรม</t>
  </si>
  <si>
    <t>ค่าเอกสารประกอบการรับสมัคร (400 ชุด x 200 บาท)</t>
  </si>
  <si>
    <t>ค่าเบี้ยเลี้ยงเจ้าหน้าที่ (240 บาท x จำนวน 4 คน x 8 จังหวัด )</t>
  </si>
  <si>
    <t>ค่าที่พักเจ้าหน้าที่ (1200 บาท x 4 คน x 8 จังหวัด )</t>
  </si>
  <si>
    <t>ค่าเครื่องบินไป-กลับ (5000 บาท x 2 คน x 3 จังหวัด)</t>
  </si>
  <si>
    <t>ค่ารถโดยสาร (รถตู้รวมค่าน้ำมัน) (2500บาท x 16 วัน)</t>
  </si>
  <si>
    <t>6.4.2</t>
  </si>
  <si>
    <t>รวบรวมข้อมูลโรงงานอุตสาหกรรมเพื่อจัดทำสมดุลรวม 8 จังหวัดๆ ละ 2 ครั้ง</t>
  </si>
  <si>
    <t xml:space="preserve">ค่าเอกสารประกอบการประชุม (400 ชุด x 200 บาท x 2 ครั้ง) </t>
  </si>
  <si>
    <t>ค่าอาหารว่าง   (16 มื้อ)  (100 บาท x 400 คน x 2 ครั้ง )</t>
  </si>
  <si>
    <t>ค่าอาหารกลางวัน  (1 มื้อ)  (500 บาท x 400 คน x 2 ครั้ง)</t>
  </si>
  <si>
    <t>ค่าเบี้ยเลี้ยงเจ้าหน้าที่ (240 บาท x จำนวน 4 คน x 8 จังหวัด  x 2 ครั้ง)</t>
  </si>
  <si>
    <t>ค่าที่พักเจ้าหน้าที่ (1200 บาท x 4 คน x 8 จังหวัด x 2 ครั้ง )</t>
  </si>
  <si>
    <t>ค่าเครื่องบินไป-กลับ (5000 บาท x 2 คน x 3 จังหวัด x 2 ครั้ง )</t>
  </si>
  <si>
    <t>ค่ารถโดยสาร (รถตู้รวมค่าน้ำมัน) (2500บาท x 16 วัน x 2 ครั้ง)</t>
  </si>
  <si>
    <t>6.4.3</t>
  </si>
  <si>
    <t>ดำเนินการเผยแพร่องค์ความรู้แก่โรงงานอุตสาหกรรมเป้าหมาย ไม่น้อยกว่า 400 โรงงาน ใน 8 จังหวัด</t>
  </si>
  <si>
    <t>ค่าวิทยากร  (1,200 บาท x คนละ 56 ชั่วโมง)</t>
  </si>
  <si>
    <t>ค่าเอกสารประกอบการประชุม (200 บาท x 400 คน)</t>
  </si>
  <si>
    <t>ค่าอาหารว่าง   (2 มื้อ)  (100 บาท x 400 คน )</t>
  </si>
  <si>
    <t>ค่าอาหารกลางวัน  (1 มื้อ)  (500 บาท x 400 คน)</t>
  </si>
  <si>
    <t>ค่าเบี้ยเลี้ยงเจ้าหน้าที่ (240 บาท x จำนวน 5 คน x 8 จังหวัด )</t>
  </si>
  <si>
    <t>ค่าที่พักวิทยากร (1200 บาท x 2 คน x 8 จังหวัด  )</t>
  </si>
  <si>
    <t>ค่าที่พักเจ้าหน้าที่ (1200 บาท x 5 คน x 8 จังหวัด )</t>
  </si>
  <si>
    <t>ค่าเครื่องบินไป-กลับ (5000 บาท x 5 คน x 3 จังหวัด)</t>
  </si>
  <si>
    <t>6.4.4</t>
  </si>
  <si>
    <t>ให้คำปรึกษาเชิงลึก ในการปรับปรุงยกระดับให้กับโรงงานอุตสาหกรรมด้านสิ่งแวดล้อมและความปลอดภัยฯ</t>
  </si>
  <si>
    <t>ให้คำปรึกษาเชิงลึก</t>
  </si>
  <si>
    <t>เบี้ยเลี้ยงเจ้าหน้าที่ (240 บาท x 8 จังหวัด  x 10 คน x 20 วัน)</t>
  </si>
  <si>
    <t>ค่าที่พักเจ้าหน้าที่ (1200 บาท x 10 คน x  10 คืน)</t>
  </si>
  <si>
    <t>ค่ารถโดยสาร (รถตู้รวมค่าน้ำมัน) (2500บาท x 20 วัน)</t>
  </si>
  <si>
    <t>ค่าเครื่องบินไป-กลับ (5000 บาท x 3 คน x 3 จังหวัด x 2 ครั้ง)</t>
  </si>
  <si>
    <t>เอกสารประกอบการให้คำปรึกษา (400 โรงงาน x 200 บาท)</t>
  </si>
  <si>
    <t>6.4.5</t>
  </si>
  <si>
    <t>ติดตามประเมินผลของโรงงานอุตสาหกรรมที่เข้าร่วมพร้อมทั้งสรุปผล</t>
  </si>
  <si>
    <t>ค่าเอกสารประกอบการประชุม (200 บาท x 400 โรงงาน )</t>
  </si>
  <si>
    <t>ค่าสถานที่จัดประชุม (5000 บาท x 8 จังหวัด )</t>
  </si>
  <si>
    <t>ค่าอาหารกลางวัน  (1 มื้อ)  (500 บาท x 400 คน )</t>
  </si>
  <si>
    <t>ค่าเบี้ยเลี้ยงเจ้าหน้าที่  (240 บาท x 8 จังหวัด  x 10 คน x 20 วัน)</t>
  </si>
  <si>
    <t>6.4.6</t>
  </si>
  <si>
    <t>การสุ่มทวนสอบโดยผู้ทวนสอบที่ผ่านการอบรมตามหลักสูตรที่เข้าร่วมพร้อมทั้งสรุปผลสภาพก่อนและหลังการอบรม</t>
  </si>
  <si>
    <t>ประชาสัมพันธ์ผ่านสื่อ</t>
  </si>
  <si>
    <t>ค่าเบี้ยเลี้ยงเจ้าหน้าที่ (240 บาท x จำนวน 5 คน x 5 วัน)</t>
  </si>
  <si>
    <t>ค่าที่พักเจ้าหน้าที่ (1200 บาท x 5 คน x 4 คืน)</t>
  </si>
  <si>
    <t>ค่าเครื่องบินไป-กลับ (5000 บาท x 3 คน x 1 ครั้ง)</t>
  </si>
  <si>
    <t>ค่ารถโดยสาร (รถตู้รวมค่าน้ำมัน) (2500บาท x 8วัน)</t>
  </si>
  <si>
    <t xml:space="preserve">จัดตั้งศูนย์แลกเปลี่ยนเรียนรู้ </t>
  </si>
  <si>
    <t>ค่าอุปกรณ์จัดตั้งศูนย์ (80000 บาท x 8 จังหวัด)</t>
  </si>
  <si>
    <t>ค่าเบี้ยเลี้ยงเจ้าหน้าที่ (240 บาท x จำนวน 4 คน x 16 วัน)</t>
  </si>
  <si>
    <t>ค่าเครื่องบินไป-กลับ (5000 บาท x 3 คน x 3 ครั้ง)</t>
  </si>
  <si>
    <t>ค่าจ้างออกแบบพื้นที่สีเขียว (80000 บาท x 8 จังหวัด)</t>
  </si>
  <si>
    <t>ค่าจ้างออกแบบโครงสร้างพื้นฐาน (80000 บาท x 8 จังหวัด)</t>
  </si>
  <si>
    <t>ค่าจ้างออกแบบระบบสาธารณูปโภค (80000 บาท x 8 จังหวัด)</t>
  </si>
  <si>
    <t>กิจกรรม</t>
  </si>
  <si>
    <t xml:space="preserve">1. ประสานความร่วมมือ และจัดเตรยีมในการ ปรับปรุงภูมิทัศน์ และเพิ่มพื้นที่สีเขียว </t>
  </si>
  <si>
    <t xml:space="preserve">2. ประสานจัดกิจกรรมเพิ่มพื้นที่สีเขียว และพื้นที่แนวป้องกันมลพิษ ให้กับสถานประกอบการ อุตสาหกรรมร่วมกับหน่วยงาน
องค์กรปกครองส่วนท้องถิ่นในพื้นที่ </t>
  </si>
  <si>
    <t xml:space="preserve">3. ส่งเสริมให้หน่วยงานท้องถิ่นทำหน้าที่ดูแล บำรุงรักษา ร่วมกับสถานประกอบการ </t>
  </si>
  <si>
    <t xml:space="preserve">ประสานความร่วมมือ และจัดเตรียมในการ ปรับปรุงภูมิทัศน์ และเพิ่มพื้นที่สีเขียว </t>
  </si>
  <si>
    <t>ค่าวิทยากร  (1,200 บาท x คนละ 28 ชั่วโมง )</t>
  </si>
  <si>
    <t>ค่าเอกสารประกอบการประชุม (200 บาท x 120 คน )</t>
  </si>
  <si>
    <t>ค่าอาหารว่าง   (2 มื้อ)  (50 บาท x 120 คน )</t>
  </si>
  <si>
    <t>ค่าอาหารกลางวัน  (1 มื้อ)  (500 บาท x 1200 คน )</t>
  </si>
  <si>
    <t>ค่าเบี้ยเลี้ยงเจ้าหน้าที่ (240 บาท x จำนวน 4 คน x 8 วัน)</t>
  </si>
  <si>
    <t>ค่าที่พักวิทยากร (1200 บาท x 2 คน x 8 จังหวัด )</t>
  </si>
  <si>
    <t>ค่าที่พักเจ้าหน้าที่ (1200 บาท x 4 คน x 4 คืน)</t>
  </si>
  <si>
    <t>ค่ารถโดยสาร (รถตู้รวมค่าน้ำมัน) (2500บาท x 8 วัน)</t>
  </si>
  <si>
    <t>กิจกรรมปลูกต้นไม้</t>
  </si>
  <si>
    <t>ค่าสถานที่จัดงาน (5000 บาท  x 8 จังหวัด)</t>
  </si>
  <si>
    <t>ค่าพิธีกร (3000 บาท x 8 จังหวัด)</t>
  </si>
  <si>
    <t>ค่าอุปกรณ์โสตฯ (10000 บาท x 8 จังหวัด)</t>
  </si>
  <si>
    <t>ค่าอาหารว่าง   (16 มื้อ)  (100 บาท x 400 คน)</t>
  </si>
  <si>
    <t>ค่าต้นไม้ (200 บาท x 8000 ต้น)</t>
  </si>
  <si>
    <t>อุปกรณ์ปลูกต้นไม้ 5000 บาท 8 จังหวัด</t>
  </si>
  <si>
    <t>ส่งเสริมให้หน่วยงานท้องถิ่นทำหน้าที่ดูแล บำรุงรักษา ร่วมกับสถานประกอบการ</t>
  </si>
  <si>
    <t>ค่าเอกสารประกอบการประชุม (200 บาท x 400 คน )</t>
  </si>
  <si>
    <t>ค่าอาหารว่าง   (16 มื้อ)  (100 บาท x 400 คน )</t>
  </si>
  <si>
    <t>ค่าที่พักเจ้าหน้าที่ (1200 บาท x 4 คน x 8 คืน)</t>
  </si>
  <si>
    <t xml:space="preserve">1. ตรวจประเมินการจัดการกากอุตสาหกรรม ของโรงงานต่างๆ </t>
  </si>
  <si>
    <t xml:space="preserve">2. เผยแพร่องค์ความรู้การนำของเสียมาใช้ประโยชน์ </t>
  </si>
  <si>
    <t xml:space="preserve">3. ส่งเสริมการพัฒนาธรุกิจรีไซเคิล/อัพไซเคิล </t>
  </si>
  <si>
    <t>ตรวจประเมินการจัดการกากอุตสาหกรรม ของโรงงานต่างๆ  250 โรงงานใน 5 จังหวัด</t>
  </si>
  <si>
    <t>ค่าเบี้ยเลี้ยงเจ้าหน้าที่ (240 บาท x จำนวน 3 คน x 250 วัน)</t>
  </si>
  <si>
    <t>ค่าที่พักเจ้าหน้าที่ (1200 บาท x 3 คน x 125 คืน)</t>
  </si>
  <si>
    <t>ค่าเครื่องบินไป-กลับ (5000 บาท x 3 คน x 25 ครั้ง)</t>
  </si>
  <si>
    <t>ค่ารถโดยสาร (รถตู้รวมค่าน้ำมัน) (2500บาท x 200 วัน)</t>
  </si>
  <si>
    <t>เผยแพร่องค์ความรู้การนำของเสียมาใช้ประโยชน์ / 3.ส่งเสริมการพัฒนาธรุกิจรีไซเคิล/อัพไซเคิล</t>
  </si>
  <si>
    <t>ค่าวิทยากร  (1,200 บาท x คนละ 35 ชั่วโมง)</t>
  </si>
  <si>
    <t>ค่าเอกสารประกอบการประชุม (200 บาท x 250 คน)</t>
  </si>
  <si>
    <t>ค่าอาหารว่าง   (2 มื้อ)  (100 บาท x 250 คน )</t>
  </si>
  <si>
    <t>ค่าอาหารกลางวัน  (1 มื้อ)  (500 บาท x 250 คน)</t>
  </si>
  <si>
    <t>ค่าเบี้ยเลี้ยงเจ้าหน้าที่ (240 บาท x จำนวน 5 คน x 5 จังหวัด )</t>
  </si>
  <si>
    <t>ค่าที่พักวิทยากร (1200 บาท x 2 คน x 5 จังหวัด )</t>
  </si>
  <si>
    <t>ค่าที่พักเจ้าหน้าที่ (1200 บาท x 5 คน x 5 จังหวัด )</t>
  </si>
  <si>
    <t>ค่าเครื่องบินไป-กลับ (5000 บาท x 5 คน x 1 จังหวัด)</t>
  </si>
  <si>
    <t>ค่ารถโดยสาร (รถตู้รวมค่าน้ำมัน) (2500บาท x 10 วัน)</t>
  </si>
  <si>
    <t>โครงการที่ 3 โครงการยกระดับการกำกับดูแลโรงงานเพื่อการบริหารจัดการด้านสิ่งแวดล้อมและความปลอกภัยที่ดีสำหรับกลุ่มอุตสาหกรรม</t>
  </si>
  <si>
    <t>(พื้นที่ท่าเรื่อ อ.นครหลวง จังหวัดพระนครศรีอยุธยา และจังหวัดราชบุรี )</t>
  </si>
  <si>
    <t>1. เผยแพร่องค์ความรู้ด้านการพัมนาสู่โรงงานทีมีบริหารจัดการด้านสิ่งแวดล้อมและความปลอดภัยที่ดี</t>
  </si>
  <si>
    <t xml:space="preserve">2. กิจกรรมการตรวจประเมินและป้องกัน แก้ไขปัญหามลพิษทางอากาศจาก โรงงานอุตสาหกรรม </t>
  </si>
  <si>
    <t>เผยแพร่องค์ความรู้ด้านการพัฒนาสู่โรงงานทีมีบริหารจัดการด้านสิ่งแวดล้อมและความปลอดภัยที่ดี</t>
  </si>
  <si>
    <t>ค่าวิทยากร  (1,200 บาท x คนละ 14 ชั่วโมง)</t>
  </si>
  <si>
    <t>ค่าเอกสารประกอบการประชุม (200 บาท x 100 คน)</t>
  </si>
  <si>
    <t>ค่าอาหารว่าง   (2 มื้อ)  (100 บาท x 100 คน )</t>
  </si>
  <si>
    <t>ค่าอาหารกลางวัน  (1 มื้อ)  (500 บาท x 100 คน)</t>
  </si>
  <si>
    <t>ค่าเบี้ยเลี้ยงเจ้าหน้าที่ (240 บาท x จำนวน 5 คน x 2 จังหวัด )</t>
  </si>
  <si>
    <t>ค่าที่พักวิทยากร(1200 บาท x 1 คน x 2 จังหวัด )</t>
  </si>
  <si>
    <t>ค่าที่พักเจ้าหน้าที่ (1200 บาท x 5 คน x 2 จังหวัด )</t>
  </si>
  <si>
    <t xml:space="preserve">กิจกรรมการตรวจประเมินและป้องกัน แก้ไขปัญหามลพิษทางอากาศจาก โรงงานอุตสาหกรรม </t>
  </si>
  <si>
    <t>ค่าเบี้ยเลี้ยงเจ้าหน้าที่ (240 บาท x จำนวน 5 คน x 4 วัน)</t>
  </si>
  <si>
    <t>ค่าที่พักเจ้าหน้าที่ (1200 บาท x 5 คน x 2 คืน)</t>
  </si>
  <si>
    <t>โครงการที่ 4 โครงการยกระดับแผนฉุกเฉินโรงงานอุตสาหกรรมนอกเขตพื้นที่นิคมอุตสาหกรรม (พระนครศรีอยุธยา สระบุรี ปราจีนบุรี)</t>
  </si>
  <si>
    <t>1. วิเคราะห์และทบทวน ปรับปรุงแผนควบคุมภาวะฉุกเฉินโรงงานอุตสาหกรรมถึงความเชื่อมโยงและสอดคล้อง</t>
  </si>
  <si>
    <t>2. เผยแพร่องค์ความรู้การฝึกซ้อมแผนชุมชน</t>
  </si>
  <si>
    <t>วิเคราะห์และทบทวน ปรับปรุงแผนควบคุมภาวะฉุกเฉินโรงงานอุตสาหกรรมถึงความเชื่อมโยงและสอดคล้อง</t>
  </si>
  <si>
    <t>ค่าเอกสารประกอบการประชุม (200 บาท x 150 คน)</t>
  </si>
  <si>
    <t>ค่าอาหารว่าง   (2 มื้อ)  (100 บาท x 150 คน )</t>
  </si>
  <si>
    <t>ค่าอาหารกลางวัน  (1 มื้อ)  (500 บาท x 150 คน)</t>
  </si>
  <si>
    <t>ค่าเบี้ยเลี้ยงเจ้าหน้าที่ (240 บาท x จำนวน 5 คน x 3 จังหวัด )</t>
  </si>
  <si>
    <t>ค่าที่พักวิทยากร(1200 บาท x 2 คน x 3 จังหวัด )</t>
  </si>
  <si>
    <t>ค่าที่พักเจ้าหน้าที่ (1200 บาท x 5 คน x 3 จังหวัด )</t>
  </si>
  <si>
    <t>ค่ารถโดยสาร (รถตู้รวมค่าน้ำมัน) (2500บาท x 6 วัน)</t>
  </si>
  <si>
    <t>เผยแพร่องค์ความรู้การฝึกซ้อมแผนชุมชน</t>
  </si>
  <si>
    <t>2. เผยแพร่องค์ความรู้ในการพัฒนามาตรฐานผลิตภัณฑ์ทางการเกษตรเป็นมิตรกับสิ่งแวดล้อมและได้มาตรฐานสากล</t>
  </si>
  <si>
    <t xml:space="preserve">เชิญชวนให้โรงงานอุตสาหกรรมสมัครเข้าร่วมโครงการ ผ่านเอกสารและสื่ออิเลคทรอนิกส์ </t>
  </si>
  <si>
    <t>ประชาสัมพันธ์ผ่านสื่อ (5000 บาท x 6 จังหวัด)</t>
  </si>
  <si>
    <t>ค่าจัดทำเอกสารและค่าซองเอกสารแนะนำโครงการ( 20 บาท x 600 ชุด)</t>
  </si>
  <si>
    <t>ค่าไปรษณีย์จัดส่งเอกสารแนะนำโครงการ (600 ชุด x 35 บาท)</t>
  </si>
  <si>
    <t>ค่าติดต่อสื่อสาร (600 โรงงาน X 200 บาท)</t>
  </si>
  <si>
    <t>การรับสมัครเข้าร่วมโครงการ</t>
  </si>
  <si>
    <t>ค่าเอกสารประกอบการรับสมัคร (600 ชุด x 200 บาท)</t>
  </si>
  <si>
    <t>ค่าเบี้ยเลี้ยงเจ้าหน้าที่ (240 บาท x จำนวน 4 คน x 12 วัน )</t>
  </si>
  <si>
    <t>ค่าที่พักเจ้าหน้าที่ (1200 บาท x 4 คน x 6 คืน )</t>
  </si>
  <si>
    <t>ค่ารถโดยสาร (รถตู้รวมค่าน้ำมัน) (2500บาท x 12 วัน)</t>
  </si>
  <si>
    <t xml:space="preserve">คัดเลือก </t>
  </si>
  <si>
    <t>ค่าติดต่อสื่อสาร (6 โรงงาน X 200 บาท)</t>
  </si>
  <si>
    <t>เผยแพร่องค์ความรู้ในการพัฒนามาตรฐานผลิตภัณฑ์ทางการเกษตรเป็นมิตรกับสิ่งแวดล้อมและได้มาตรฐานสากล</t>
  </si>
  <si>
    <t>ค่าวิทยากร  (1,200 บาท x คนละ 42 ชั่วโมง)</t>
  </si>
  <si>
    <t>ค่าเอกสารประกอบการประชุม (200 บาท x 300 คน)</t>
  </si>
  <si>
    <t>ค่าอาหารว่าง   (2 มื้อ)  (100 บาท x 300 คน )</t>
  </si>
  <si>
    <t>ค่าอาหารกลางวัน  (1 มื้อ)  (500 บาท x 300 คน)</t>
  </si>
  <si>
    <t>ค่าเบี้ยเลี้ยงเจ้าหน้าที่ (240 บาท x จำนวน 5 คน x 6 จังหวัด )</t>
  </si>
  <si>
    <t>ค่าที่พักวิทยากร (1200 บาท x 2 คน x 6 จังหวัด )</t>
  </si>
  <si>
    <t>ค่าที่พักเจ้าหน้าที่ (1200 บาท x 5 คน x 6 จังหวัด )</t>
  </si>
  <si>
    <t>โครงการที่ 6 โครงการสร้างต้นแบบและขยายเครือข่ายในจัดการฝุ่นในภาคอุตสาหกรรม (จังหวัดสระบุรี)</t>
  </si>
  <si>
    <t>1. พัฒนาโรงงานต้นแบบ ด้านการจัดการฝุ่น</t>
  </si>
  <si>
    <t>2. สร้างความร่วมมือให้โรงงานต้นแบบถ่ายทอดเทคโนโลยีการจัดการฝุ่นในโรงงานแก่โรงงานเครือข่าย</t>
  </si>
  <si>
    <t>3. ติดตามการประเมินผลการดำเนินงาน</t>
  </si>
  <si>
    <t>พัฒนาโรงงานต้นแบบ ด้านการจัดการฝุ่น</t>
  </si>
  <si>
    <t>ประชาสัมพันธ์ผ่านสื่อ (10000 บาท)</t>
  </si>
  <si>
    <t>ค่าจัดทำเอกสารและค่าซองเอกสารแนะนำโครงการ( 20 บาท x 100 ชุด)</t>
  </si>
  <si>
    <t>ค่าไปรษณีย์จัดส่งเอกสารแนะนำโครงการ (100 ชุด x 35 บาท)</t>
  </si>
  <si>
    <t>ค่าติดต่อสื่อสาร (100 โรงงาน X 1000 บาท)</t>
  </si>
  <si>
    <t>ค่าเอกสารประกอบการรับสมัคร (100 ชุด x 200 บาท)</t>
  </si>
  <si>
    <t>ค่าเบี้ยเลี้ยงเจ้าหน้าที่ (240 บาท x จำนวน 2 คน x 4 วัน )</t>
  </si>
  <si>
    <t>ค่าที่พักเจ้าหน้าที่ (1200 บาท x 2 คน x 2 คืน )</t>
  </si>
  <si>
    <t>ค่าติดต่อสื่อสาร (1 โรงงาน X 1000 บาท)</t>
  </si>
  <si>
    <t>ค่าเบี้ยเลี้ยงเจ้าหน้าที่ (240 บาท x จำนวน 2 คน x 2 วัน )</t>
  </si>
  <si>
    <t>ค่าที่พักเจ้าหน้าที่ (1200 บาท x 2 คน x 1 คืน )</t>
  </si>
  <si>
    <t>ค่ารถโดยสาร (รถตู้รวมค่าน้ำมัน) (2500บาท x 2 วัน)</t>
  </si>
  <si>
    <t>สร้างความร่วมมือให้โรงงานต้นแบบถ่ายทอดเทคโนโลยีการจัดการฝุ่นในโรงงานแก่โรงงานเครือข่าย</t>
  </si>
  <si>
    <t xml:space="preserve"> ให้คำปรึกษาเชิงลึกแก่โรงงานที่ได้รับการคัดเลือก</t>
  </si>
  <si>
    <t>ค่าสถานที่ (5000 บาท)</t>
  </si>
  <si>
    <t>ค่าวิทยากร (1,200 บาท x คนละ 7 ชั่วโมง x 10 โรงงาน)</t>
  </si>
  <si>
    <t>ค่าอาหารผู้เข้าร่วมประชุม  (1 มื้อ)  (500 บาท x 20 คน)</t>
  </si>
  <si>
    <t>ค่าอาหารว่าง   (2 มื้อ)  (100 บาท x 20 คน )</t>
  </si>
  <si>
    <t>ค่าเบี้ยเลี้ยงเจ้าหน้าที่ (240 บาท x จำนวน 4 คน x 2 วัน )</t>
  </si>
  <si>
    <t>ค่าที่พักวิทยากร (1200 บาท x 1 คน x 1 คืน )</t>
  </si>
  <si>
    <t>ค่าที่พักเจ้าหน้าที่ (1200 บาท x 4 คน x 1 คืน )</t>
  </si>
  <si>
    <t>ค่าเอกสารประกอบการประชุม (200 บาท x 20 คน)</t>
  </si>
  <si>
    <t>ติดตามการประเมินผลการดำเนินงาน</t>
  </si>
  <si>
    <t>ค่าเบี้ยเลี้ยงเจ้าหน้าที่ (240 บาท x จำนวน 5 คน x 10 วัน)</t>
  </si>
  <si>
    <t>ค่าที่พักเจ้าหน้าที่ (1200 บาท x 5 ห้อง x 5 คืน)</t>
  </si>
  <si>
    <t>ค่ารถโดยสาร (รถตู้รวมค่าน้ำมัน) (2500บาท x 10วัน)</t>
  </si>
  <si>
    <t>โครงการที่ 7 ตรวจประเมินและป้องกันแก้ไขปัญหาน้ำเสียจากโรงงานอุตสาหกรรม (จังหวัดปราจีนบุรี)</t>
  </si>
  <si>
    <t>1. ตรวจประเมินประสิทธิภาพระบบบำบัดน้ำเสียปีละ 50 โรงงาน</t>
  </si>
  <si>
    <t>2. คัดเลือกโรงงาน 5 โรงงาน เพื่อช่วยปรับปรุงระบบบำบัดน้ำเสียพร้อมดูแลการติดตั้ง</t>
  </si>
  <si>
    <t>3. ทำรายงานและเผยแพร่องค์ความรู้</t>
  </si>
  <si>
    <t xml:space="preserve"> ตรวจประเมินประสิทธิภาพระบบบำบัดน้ำเสียปีละ 50 โรงงาน</t>
  </si>
  <si>
    <t>ค่าเบี้ยเลี้ยงเจ้าหน้าที่ (240 บาท x จำนวน 3 คน x  50 วัน)</t>
  </si>
  <si>
    <t>ค่าที่พักเจ้าหน้าที่ (1200 บาท x 3 ห้อง x 25 คืน)</t>
  </si>
  <si>
    <t>ค่ารถโดยสาร (รถตู้รวมค่าน้ำมัน) (2500บาท x 50 วัน)</t>
  </si>
  <si>
    <t>คัดเลือกโรงงาน 5 โรงงาน เพื่อช่วยปรับปรุงระบบบำบัดน้ำเสียพร้อมดูแลการติดตั้ง</t>
  </si>
  <si>
    <t xml:space="preserve">คัดเลือกโรงงานอุตสาหกรรม </t>
  </si>
  <si>
    <t>ประชาสัมพันธ์ผ่านสื่อ (5000 บาท)</t>
  </si>
  <si>
    <t>ค่าเบี้ยเลี้ยงเจ้าหน้าที่ (240 บาท x จำนวน 4 คน x 4 วัน )</t>
  </si>
  <si>
    <t>ค่าที่พักเจ้าหน้าที่ (1200 บาท x 4 คน x 2 คืน )</t>
  </si>
  <si>
    <t>ทำรายงานและเผยแพร่องค์ความรู้</t>
  </si>
  <si>
    <t>ค่าเอกสารประกอบการประชุม (200 บาท x 50 คน)</t>
  </si>
  <si>
    <t>ค่าเบี้ยเลี้ยงเจ้าหน้าที่ (240 บาท x จำนวน 5 คน x 1 จังหวัด )</t>
  </si>
  <si>
    <t>ค่าที่พักวิทยากร(1200 บาท x 2 คน x 1 จังหวัด )</t>
  </si>
  <si>
    <t>ค่าที่พักเจ้าหน้าที่ (1200 บาท x 5 คน  x 1 จังหวัด )</t>
  </si>
  <si>
    <t>โครงการที่ 8 โครงการส่งเสริมการสร้างมูลค่าเพิ่มผลิตภัณฑ์ยาง และยกระดับอุตสาหกรรมยางพารา ในพื้นที่ อ.หาดใหญ่</t>
  </si>
  <si>
    <t>และตำบลฉลุงให้เป็นมิตรต่อสิ่งแวดล้อม (จังหวัดสงขลา)</t>
  </si>
  <si>
    <t>1. ศึกษาความเป็นไปได้ในการสร้างมุลค่าเพิ่มจากการแปรรูปยางพารา ระดับกลางน้ำเป็นผลิตภัณฑ์กึ่งสำเร็จรูปและสำเร็จรูปในระดับปลายน้ำ</t>
  </si>
  <si>
    <t>3. ยกระดับความเป็นมิตรต่อสิ่งแวดล้อมในอุตสาหกรรมยางพาราตั้งแต่ระดับต้นน้ำ กลางน้ำ และปลายน้ำ</t>
  </si>
  <si>
    <t>ศึกษาความเป็นไปได้ในการสร้างมุลค่าเพิ่มจากการแปรรูปยางพารา ระดับกลางน้ำเป็นผลิตภัณฑ์กึ่งสำเร็จรูปและสำเร็จรูปในระดับปลายน้ำ</t>
  </si>
  <si>
    <t>ค่าเอกสารประกอบการ (100 บาท x 50 คน)</t>
  </si>
  <si>
    <t>ค่าที่พักเจ้าหน้าที่ (1200 บาท x 5 คน x 1 จังหวัด )</t>
  </si>
  <si>
    <t>ค่าเครื่องบินไป-กลับ (5000 บาท x  1 จังหวัด 2 คน )</t>
  </si>
  <si>
    <t>ค่าที่พักวิทยากร (1200 บาท x 2 คน x 1 จังหวัด )</t>
  </si>
  <si>
    <t>รักษาและพัฒนาเครือข่ายอุตสาหกรรมเชิงนิเวศ (Eco Network) ในพื้นที่เป้าหมายจังหวัดที่มีศักยภาพการพัฒนาอุตสาหกรรม 8 จังหวัด</t>
  </si>
  <si>
    <t>กิจกรรมเปืดโรงงานให้เครือข่าย (Eco Network) ในพื้นที่เข้าเยี่ยมชมโรงงานอย่างน้อย 40 คน</t>
  </si>
  <si>
    <t>ค่าอาหารว่าง   (2 มื้อ)  (100 บาท x 40 คน )</t>
  </si>
  <si>
    <t>ค่าอาหารกลางวัน  (1 มื้อ)  (500 บาท x 40 คน)</t>
  </si>
  <si>
    <t>ค่าเครื่องบินไป-กลับ (5000 บาท x  3 จังหวัด 2 คน )</t>
  </si>
  <si>
    <t>กิจกรรมเผยแพร่องค์ความรู้ (Eco - School) 8 จังหวัดๆละ 30 คน</t>
  </si>
  <si>
    <t>ค่าเอกสารประกอบการประชุม (200 บาท x 240 คน)</t>
  </si>
  <si>
    <t>ค่าสถานที่จัดประชุม (5000 บาท x 8 จังหวัด)</t>
  </si>
  <si>
    <t>ค่าอาหารว่าง   (2 มื้อ)  (100 บาท x 240 คน )</t>
  </si>
  <si>
    <t>ค่าอาหารกลางวัน  (1 มื้อ)  (500 บาท x 240 คน)</t>
  </si>
  <si>
    <t>ค่าเบี้ยเลี้ยงเจ้าหน้าที่ (240 บาท x จำนวน 5คน x 8 จังหวัด)</t>
  </si>
  <si>
    <t>ค่าที่พักวิทยากร(1200 บาท x 2 คน x 8 จังหวัด)</t>
  </si>
  <si>
    <t>ค่าที่พักเจ้าหน้าที่ (1200 บาท x 5 คนx 8 จังหวัด)</t>
  </si>
  <si>
    <t>ค่าวิทยากร  (1,200 บาท x 56 ชั่วโมง )</t>
  </si>
  <si>
    <t>ค่าอาหารว่าง (2 มื้อ)  (100 บาท x 240 คน)</t>
  </si>
  <si>
    <t>ค่าเบี้ยเลี้ยงเจ้าหน้าที่ (240 บาท x จำนวน 5 คน 16 วัน)</t>
  </si>
  <si>
    <t>ค่าที่พักเจ้าหน้าที่ (1200 บาท x 2 คน x 8 คืน)</t>
  </si>
  <si>
    <t>ค่ารถโดยสาร (รถตู้รวมค่าน้ำมัน) (2500บาทx 16 วัน)</t>
  </si>
  <si>
    <t>ดำเนินการรวบรวม วิเคราะห์เพื่อจัดทำข้อมูลที่เกี่ยวข้องกับการดำเนินงาน 8 จังหวัด</t>
  </si>
  <si>
    <t>เอกสารและสื่ออิเลคทรอนิกส์ ใช้วิเคราะห์เพื่อจัดทำขัอมูล</t>
  </si>
  <si>
    <t>คู่มือเครื่องมือในการยกระดับโรงงานฯ (เล่มละ 250 x 400 เล่ม)</t>
  </si>
  <si>
    <t>คู่มือแลกเปลี่ยนเรียนรู้ฯ (เล่มละ 240 x 400 เล่ม)</t>
  </si>
  <si>
    <t>คู่มือการออกแบบเมืองฯ  (เล่มละ 200 x 400 เล่ม)</t>
  </si>
  <si>
    <t>คู่มือการพัฒนาและตัวชี้วัดฯ (เล่มละ 200 x 400เล่ม)</t>
  </si>
  <si>
    <t>คู่มือเครือข่าย eco network  (เล่มละ 200 x 400 เล่ม)</t>
  </si>
  <si>
    <t>คู่มือ eco school (เล่มละ 200 x 400 เล่ม)</t>
  </si>
  <si>
    <t>เอกสารเผยแพร่ประชาสัมพันธ์ผลการดำเนินงานฯ(เล่มละ 200 x 400 เล่ม)</t>
  </si>
  <si>
    <t>วางแผน ออกแบบ ปรับปรุง/พัฒนา หรือจัดทำเว็บไซต์ 8 จังหวัด</t>
  </si>
  <si>
    <t>ค่าเอกสารประกอบการประชุม (200 บาท x 50 คน x 8 จังหวัด)</t>
  </si>
  <si>
    <t>ค่าอาหารว่าง   (100 บาท x 50 คน x 8 จังหวัด )</t>
  </si>
  <si>
    <t>ค่าอาหารกลางวัน  (8 มื้อ)  (500 บาท x 50 คน x 8 จังหวัด)</t>
  </si>
  <si>
    <t>ค่าเบี้ยเลี้ยงเจ้าหน้าที่ (240 บาท x จำนวน 5 คน x 16 วัน)</t>
  </si>
  <si>
    <t>ค่าออกแบบ (20000 บาท x 8 จังหวัด)</t>
  </si>
  <si>
    <t>ค่าปรับปรุง  (10000 บาท x 8 จังหวัด)</t>
  </si>
  <si>
    <t>ค่าพัฒนา  (10000 บาท x 8 จังหวัด)</t>
  </si>
  <si>
    <t>ค่าจัดทำเว็บไซต์ 8 จังหวัด  (20000 บาท x 8 จังหวัด)</t>
  </si>
  <si>
    <t>ค่าเบี้ยเลี้ยงเจ้าหน้าที่ (240 บาท x จำนวน 10 คน x 16 วัน)</t>
  </si>
  <si>
    <t>ค่าที่พักเจ้าหน้าที่ (1200 บาท x 10 คน x 8 คืน)</t>
  </si>
  <si>
    <t>ค่าโดยสาร (รถตู้รวมค่าน้ำมัน) พื้นที่ 8 จังหวัด (2,500 บาท x 8 จังหวัด x 16 วัน)</t>
  </si>
  <si>
    <t>ค่าจัดทำรายงานผลการตรวจประเมินพื้นที่ 8 จังหวัด ( 8 จังหวัด x 50 เล่ม)</t>
  </si>
  <si>
    <t>ค่าสถานที่และตกแต่ง (15000 บาท x 8 จังหวัด)</t>
  </si>
  <si>
    <t>ค่าอุปกรณ์โสตฯ (5000 บาท x 8 จังหวัด)</t>
  </si>
  <si>
    <t>พิธีกร (10000 บาท x 8 จังหวัด)</t>
  </si>
  <si>
    <t>ค่าจัดทำบอร์ดนิทรรศการโครงการ (5000 บาท x 8 จังหวัด)</t>
  </si>
  <si>
    <t>ค่าอาหารว่าง (2 มื้อ)  (100 บาท x 400 คน )</t>
  </si>
  <si>
    <t>ค่าที่พักเจ้าหน้าที่ (1200 บาท x 10 ห้อง x 8 คืน)</t>
  </si>
  <si>
    <t>ถ่ายภาพ บันทึกวีดีโอ (10000 บาท x 8 จังหวัด)</t>
  </si>
  <si>
    <t>ค่าแผ่นพับประชาสัมพันธ์ ขนาด A4 พิมพ์ 4 สี 2 หน้าพับ 3 ตอน (2.03 บาท x 4000 แผ่น)</t>
  </si>
  <si>
    <t>ค่าเอกสารประกอบการสรุปผล (200 บาท x 400 ชุด)</t>
  </si>
  <si>
    <t>แผ่นป้ายแบนเนอร์ ขนาด 1.2 x 2.4  เมตร (500 บาท x 8 จังหวัด)</t>
  </si>
  <si>
    <t>วิดีทัศน์แนะนำโครงการฯ (ความยาวไม่น้อยกว่า 3 นาที) (30000 บาท x 1 ชุด x 8 จังหวัด)</t>
  </si>
  <si>
    <t>แผนการดำเนินโครงการ 10 ฉบับ พร้อม CD-Rom 1 แผ่น (500 บาท x 10 ฉบับ )</t>
  </si>
  <si>
    <t>รายงานฉบับต้น 10 ฉบับ พร้อม CD-Rom 1 แผ่น (800 บาท x 10 ฉบับ )</t>
  </si>
  <si>
    <t>รายงานความก้าวหน้าฉบับกลาง 10 ฉบับ พร้อม CD-Rom 1 แผ่น (800 บาท x 10 ฉบับ )</t>
  </si>
  <si>
    <t>ร่างรายงานฉบับสมบูรณ์ 10 ฉบับ พร้อม CD-Rom 1 แผ่นพร้อม CD-Rom (800 บาท x 10 ฉบับ )</t>
  </si>
  <si>
    <t>1) รายงานฉบับสมบูรณ์ ภาษาไทย พร้อม CD-Rom (800 บาท x 10 ฉบับ )</t>
  </si>
  <si>
    <t>2) รายงานสรุปสำหรับผู้บริหารภาษาไทย (400 บาท x 800 ฉบับ )</t>
  </si>
  <si>
    <t>2) รายงานสรุปสำหรับผู้บริหารภาษาอังกฤษ (400 บาท x 800 ฉบับ )</t>
  </si>
  <si>
    <t>ยี่สิบแปดล้านหนึ่งหมื่นแปดพันสามร้อยหกสิบบาทถ้วน</t>
  </si>
  <si>
    <t>โครงการพัฒนาเมืองอุตสาหกรรมเชิงนิเวศ พื้นที่เขตเศรษฐกิจพิเศษ
(จังหวัดมุกดาหาร จังหวัดสระแก้ว จังหวัดตาก และจังหวัดตราด</t>
  </si>
  <si>
    <t>ค่าเอกสารประกอบการประชุม (200 บาท x 50 คน x 8 ครั้ง)</t>
  </si>
  <si>
    <t>ค่าอาหารว่าง 2 มื้อ (100 บาท x 50 คน  x  8 ครั้ง)</t>
  </si>
  <si>
    <t>ค่าอาหารกลางวัน  (2 มื้อ)  (500 บาท x 50 คน x 8 ครั้ง)</t>
  </si>
  <si>
    <t>ค่าเบี้ยเลี้ยงเจ้าหน้าที่ (240 บาท x จำนวน 5 คน x  16 วัน)</t>
  </si>
  <si>
    <t>ค่าที่พักเจ้าหน้าที่ (800 บาท x 3 ห้อง  x 8 คืน )</t>
  </si>
  <si>
    <t>ค่าเครื่องบินไป-กลับ (5000 บาท x 2 คน x 4 ครั้ง)</t>
  </si>
  <si>
    <t>ค่าเบี้ยเลี้ยงเจ้าหน้าที่ (240 บาท x จำนวน 4 คน x 12 วัน)</t>
  </si>
  <si>
    <t>ค่าที่พักเจ้าหน้าที่ (800 บาท x 2 ห้อง  x 6 คืน )</t>
  </si>
  <si>
    <t>ค่าเครื่องบินไป-กลับ (5000 บาท x 4 คน x 3 ครั้ง)</t>
  </si>
  <si>
    <t>ค่ารถโดยสาร (รถตู้รวมค่าน้ำมัน) (2500บาท x 12วัน)</t>
  </si>
  <si>
    <t>การรับสมัครโรงงานอุตสาหกรรมในพื้นที่เขตพัฒนาเศรษฐกิจพิเศษ 4 จังหวัด</t>
  </si>
  <si>
    <t>อย่างน้อย 100 โรงงาน</t>
  </si>
  <si>
    <t>ค่าติดต่อสื่อสาร (100 โรงงาน X 200 บาท)</t>
  </si>
  <si>
    <t>ค่าเบี้ยเลี้ยงเจ้าหน้าที่ (240 บาท x จำนวน 4 คน x 4 จังหวัด )</t>
  </si>
  <si>
    <t>ค่าที่พักเจ้าหน้าที่ (800 บาท x 2 ห้อง x 4 จังหวัด )</t>
  </si>
  <si>
    <t>ค่าเครื่องบินไป-กลับ (5000 บาท x 2 คน x 2 จังหวัด)</t>
  </si>
  <si>
    <t>ดำเนินการเผยแพร่องค์ความรู้แก่โรงงานอุตสาหกรรมเป้าหมาย ไม่น้อยกว่า 100 โรงงาน ใน 4 จังหวัด</t>
  </si>
  <si>
    <t>ค่าวิทยากร  (1,200 บาท x คนละ 28 ชั่วโมง)</t>
  </si>
  <si>
    <t>ค่าเบี้ยเลี้ยงเจ้าหน้าที่ (240 บาท x จำนวน 5 คน x 4 จังหวัด )</t>
  </si>
  <si>
    <t>ค่าที่พักเจ้าหน้าที่ (800 บาท x 3 ห้อง x 4 จังหวัด )</t>
  </si>
  <si>
    <t>ให้คำปรึกษาเชิงลึก กับโรงงานอุตสาหกรรมที่ได้รับสมัครเข้าร่วมในข้อ 6.4.1 (1 ครั้ง/จังหวัด)</t>
  </si>
  <si>
    <t>เบี้ยเลี้ยงเจ้าหน้าที่ (10 คน x 100 โรงงาน )</t>
  </si>
  <si>
    <t>ค่าที่พักเจ้าหน้าที่ (800 บาท x 5 ห้อง x 4 จังหวัด )</t>
  </si>
  <si>
    <t>ค่าเครื่องบินไป-กลับ (5000 บาท x 3 คน x 2 ครั้ง)</t>
  </si>
  <si>
    <t>เอกสารประกอบการให้คำปรึกษา</t>
  </si>
  <si>
    <t>จัดทำรายงานสรุปผลการให้คำปรึกษาฯ</t>
  </si>
  <si>
    <t>ค่าทำรายงานสรุปผลให้คำปรึกษา (400 เล่ม x 250 บาท)</t>
  </si>
  <si>
    <t>ค่าจัดรายงานสรุปให้กลุ่มเป้าหมาย (400 ชุด x 50 บาท)</t>
  </si>
  <si>
    <t>ค่าเบี้ยเลี้ยงเจ้าหน้าที่ (240 บาท x จำนวน 5 คน x 8 วัน)</t>
  </si>
  <si>
    <t>ค่าที่พักเจ้าหน้าที่ (800 บาท x 3 ห้อง x 4 คืน)</t>
  </si>
  <si>
    <t>ค่าเครื่องบิน เหมาจ่าย (5000 บาท x 2 จังหวัด x 3 คน)</t>
  </si>
  <si>
    <t>ค่ารถโดยสาร (รถตู้รวมค่าน้ำมัน)(2500บาท x 8วัน)</t>
  </si>
  <si>
    <t>เชิงนิเวศในพื้นที่เขตพัฒนาเศรษฐกิจพืเศษ 4 จังหวัด</t>
  </si>
  <si>
    <t>ศึกษาออกแบบพื้นที่สีเขียวและแนวกันชน ออกแบบโครงสร้างพื้นฐานและระบบสาธารณูปโภค</t>
  </si>
  <si>
    <t>ค่าที่พักเจ้าหน้าที่ (800 บาท x 2 ห้อง x 4 คืน)</t>
  </si>
  <si>
    <t>ค่าเครื่องบิน เหมาจ่าย (5000 บาท x 2 จังหวัด x 2 คน)</t>
  </si>
  <si>
    <t>ค่าจ้างออกแบบพื้นที่สีเขียว (20000 บาท x 4 จังหวัด)</t>
  </si>
  <si>
    <t>ค่าจ้างออกแบบโครงสร้างพื้นฐาน (20000 บาท x 4 จังหวัด)</t>
  </si>
  <si>
    <t>ค่าจ้างออกแบบระบบสาธารณูปโภค (20000 บาท x 4 จังหวัด)</t>
  </si>
  <si>
    <t>6.7.1</t>
  </si>
  <si>
    <t>1. รวบรวมและจัดทำข้อมูลของพื้นที่</t>
  </si>
  <si>
    <t>2. ศึกษาความเป็นไปได้และจัดทำรายงานการวิเคราะห์ผลกระทบสิ่งแวดล้อม</t>
  </si>
  <si>
    <t>3. ออกแบบก่อสร้างเขตประกอบการอุตสาหกรรมโดยคำนึงถึงแนวคิดเมืองอุตสาหกรรมเชิงนิเวศ</t>
  </si>
  <si>
    <t>4. รับฟังความคิดเห็นของประชาชนผู้มีส่วนได้ส่วนเสีย</t>
  </si>
  <si>
    <t>รวบรวมและจัดทำข้อมูลของพื้นที่/ศึกษา/ออกแบบ</t>
  </si>
  <si>
    <t>ค่าเบี้ยเลี้ยงเจ้าหน้าที่ (240 บาท x จำนวน 4 คน x 2 วัน)</t>
  </si>
  <si>
    <t>ค่าที่พักเจ้าหน้าที่ (800 บาท x 2 ห้อง )</t>
  </si>
  <si>
    <t>ค่าเครื่องบิน เหมาจ่าย (5000 บาท x 1 จังหวัด x 2 คน)</t>
  </si>
  <si>
    <t>ค่ารถโดยสาร (รถตู้รวมค่าน้ำมัน) (2500บาท x 2วัน)</t>
  </si>
  <si>
    <t>ค่าจ้างออกแบบก่อสร้าง (20000 บาท x 1จังหวัด)</t>
  </si>
  <si>
    <t>รับฟังความคิดเห็นของประชาชนผู้มีส่วนได้ส่วนเสีย</t>
  </si>
  <si>
    <t>ค่าที่พักเจ้าหน้าที่ (800 บาท x 3 ห้อง x 1 จังหวัด )</t>
  </si>
  <si>
    <t>ค่าเครื่องบินไป-กลับ (5000 บาท x 5 คน x  จังหวัด)</t>
  </si>
  <si>
    <t>6.7.2</t>
  </si>
  <si>
    <t>1. รวมรวมและจัดทำข้อมูลของพื้นที่</t>
  </si>
  <si>
    <t>2. ศึกษาความเป็นไปได้และจัดทำรายงานการวิเคราะห์ผลกระทบต่อสิ่งแวดล้อม</t>
  </si>
  <si>
    <t>4. รับฟังความคิดเห็นจากประชาชนผู้มีส่วนได้ส่วนเสีย</t>
  </si>
  <si>
    <t>ค่าเบี้ยเลี้ยงเจ้าหน้าที่ (240 บาท x จำนวน 3 คน x 6 วัน)</t>
  </si>
  <si>
    <t>ค่าที่พักเจ้าหน้าที่ (800 บาท x 2 ห้อง x 3 คืน)</t>
  </si>
  <si>
    <t>ค่ารถโดยสาร (รถตู้รวมค่าน้ำมัน) (2500บาท x 6วัน)</t>
  </si>
  <si>
    <t>ค่าจ้างออกแบบก่อสร้าง (20000 บาท x 3 จังหวัด)</t>
  </si>
  <si>
    <t>ค่าที่พักเจ้าหน้าที่ (800 บาท x 3 ห้อง x 2 จังหวัด )</t>
  </si>
  <si>
    <t>ค่าเครื่องบินไป-กลับ (5000 บาท x 5 คน x 2 จังหวัด)</t>
  </si>
  <si>
    <t>6.7.3</t>
  </si>
  <si>
    <t>โครงการที่ 3 โครงการศึกษาความเป็นไปได้และเหมาะสมในการปรับพื้นที่โฉนดเพื่ออุตสาหกรรม (จังหวัดสระแก้ว)</t>
  </si>
  <si>
    <t>1. รวบรวมและจัดทำลักษณะพื้นที่ประเภทต่าง ๆ ในพื้นที่</t>
  </si>
  <si>
    <t>2. ศึกษาความเป็นไปได้และเหมาะสมในการปรับพื้นที่โฉนดเพื่ออุตสาหกรรม (อ้างอิงตามผลการศึกษา Industry Zoning)</t>
  </si>
  <si>
    <t>3. ข้อเสนอแนะในการปรับโฉนดเพื่อสามารถดำเนินการด้านอุตสาหกรรมได้</t>
  </si>
  <si>
    <t>รวบรวม/ศึกษา/ ข้อเสนอแนะในการปรับโฉนด</t>
  </si>
  <si>
    <t>ค่าที่พักเจ้าหน้าที่ (800 บาท x 2 ห้อง)</t>
  </si>
  <si>
    <t>ค่าจ้างออกแบบก่อสร้าง (20000 บาท x 1 จังหวัด)</t>
  </si>
  <si>
    <t>6.7.4</t>
  </si>
  <si>
    <t>โครงการที่ 4 โครงการพัฒนายกระดับคลีนิคอุตสาหกรรมให้คำปรึกษาได้กฏหมายสิ่งแวดล้อมและความปลอดภัย (จังหวัดสระแก้ว)</t>
  </si>
  <si>
    <t>1. จัดตั้งศูนย์ให้คำปรึกษาด้านกฏหมายสิ่งแวดล้อมและความปลอดภัยพร้อมมีเจ้าหน้าที่ประจำศูนย์</t>
  </si>
  <si>
    <t>2. เผยแพร่องค์ความรู้ด้านกฏหมายสิ่งแวดล้อมและความปลอดภัยแก่ผู้ประกอบการ</t>
  </si>
  <si>
    <t>3. คัดเลือกกรณีศึกษาปัญหาของโรงงานที่มีผลกระทบต่อสิ่งแวดล้อม วินิจฉัยปัญหาและประมวลผลพร้อมทั้งทำแนวทางการแก้ไขปัญหา</t>
  </si>
  <si>
    <t>4. ถอดบทเรียนกรณีศึกษาและเผยแพร่ผ่านเว็บไซค์</t>
  </si>
  <si>
    <t>ค่าเจ้าหน้าที่ประจำศูนย์ (15000 บาท x 9 เดือน)</t>
  </si>
  <si>
    <t>ค่าอุปกรณ์จัดตั้งศูนย์ (80000 บาท)</t>
  </si>
  <si>
    <t>ค่ารถโดยสาร (รถตู้รวมค่าน้ำมัน)พื้นที่ 7 จังหวัด (2500บาท x 2วัน)</t>
  </si>
  <si>
    <t>ค่าจ้างถอดบทเรียนกรณีศึกษา (20000 บาท x 1 จังหวัด)</t>
  </si>
  <si>
    <t>เผยแพร่องค์ความรู้ด้านกฏหมายสิ่งแวดล้อมและความปลอดภัยแก่ผู้ประกอบการ</t>
  </si>
  <si>
    <t>6.7.5</t>
  </si>
  <si>
    <t>โครงการที่ 5 โครงการศึกษา และเตรียมความพร้อมเพื่อรองรับการจัดการสิ่งแวดล้อมภาคอุตสาหกรรม เพื่อรองรับการเจริญเติบโตทางด้านอุตสาหกรรมในพื้นที่ (จังหวัดสระแก้ว)</t>
  </si>
  <si>
    <t>(จังหวัดสระแก้ว)</t>
  </si>
  <si>
    <t>1. รวบรวมข้อมูลพื้นที่ด้านอุตสาหกรรมสิ่งแวดล้อมทั้งปัจจุบันและแนวโน้มในอนาคต</t>
  </si>
  <si>
    <t>2. ประเมินสิ่งแวดล้อมระดับยุทธศาสตร์</t>
  </si>
  <si>
    <t xml:space="preserve">3. กำหนดมาตรการแผนงานเพื่อเตรียมความพร้อมเพื่อรองรับการจัดการสิ่งแวดล้อมภาคอุตสาหกรรม </t>
  </si>
  <si>
    <t>4. รับฟังความคิดเห็นของผู้มีส่วนได้ส่วนเสีย</t>
  </si>
  <si>
    <t>รวบรวมข้อมูลพื้นที่ด้านอุตสาหกรรมสิ่งแวดล้อม/ประเมินสิ่งแวดล้อมระดับยุทธศาสตร์</t>
  </si>
  <si>
    <t>/ กำหนดมาตรการแผนงานเพื่อเตรียมความพร้อม</t>
  </si>
  <si>
    <t>ค่าเอกสารในการรวบรวมข้อมูล (200 บาท x 100 ชุด)</t>
  </si>
  <si>
    <t>ค่าเบี้ยเลี้ยงเจ้าหน้าที่ (240 บาท x จำนวน 4 คน x 10 วัน)</t>
  </si>
  <si>
    <t>ค่าที่พักเจ้าหน้าที่ (800 บาท x 2 ห้อง x 5 คืน)</t>
  </si>
  <si>
    <t>ค่ารถโดยสาร (รถตู้รวมค่าน้ำมัน)(2500บาท x 10วัน)</t>
  </si>
  <si>
    <t>รับฟังความคิดเห็นของผู้มีส่วนได้ส่วนเสีย</t>
  </si>
  <si>
    <t>6.7.6</t>
  </si>
  <si>
    <t>โครงการที่ 6 โครงการส่งเสริมความเชื่อมโยงอุตสาหกรรมหลักกับชุมชนเพื่อให้เกิดการผลิตในระดับอุตสาหกรรม (จังหวัดสระแก้ว)</t>
  </si>
  <si>
    <t>1. ทำการพัฒนากระบวนทัศน์ใหม่ให้แก่ประกอบกิจการโรงงานอุตสาหกรรม เพื่อปรับพื้นฐานความเข้าใจของหลักการด้าน CSV ที่เป็นแบบฉบับของ</t>
  </si>
  <si>
    <t>กรมโรงงานอุตสาหกรรม ด้วยการจัดอบรมสัมมนา ให้แก่ผู้ประกอบกิจการโรงงาน กลุ่มเป้าหมายจำนวน 100 ราย</t>
  </si>
  <si>
    <t xml:space="preserve">2. ทำการพัฒนารวบรวมเครื่องมือการประเมิน (Assessment tools) ในการประเมินคุณค่าที่สร้างขึ้น (Created Value) ในการทำกิจกรรม CSV </t>
  </si>
  <si>
    <t>3. คัดเลือกผู้ประกอบกิจการโรงงานในพื้นที่ที่มีความพร้อม และสมัครเข้าร่วมโครงการ จำนวน 3 ราย เพื่อทำกิจกรรม</t>
  </si>
  <si>
    <t xml:space="preserve">4. ทำการเผยแพร่วิธีการทำ CSV ในเว็บไซค์ของกรมโรงงานอุตสาหกรรม และสื่อออนไลน์ต่างๆ </t>
  </si>
  <si>
    <t>5. ให้เกียรติบัตรเชิดชูแก่ผู้ประกอบกิจการโรงงานนำร่องที่สามรถทำกิจกรรม CSV ได้ตามวัตถุประสงค์ CSV Awards</t>
  </si>
  <si>
    <t>ทำการพัฒนากระบวนทัศน์ใหม่ให้แก่ประกอบกิจการโรงงานอุตสาหกรรม เพื่อปรับพื้นฐานความเข้าใจของหลักการด้าน CSV ที่เป็นแบบฉบับของ</t>
  </si>
  <si>
    <t>ค่าเบี้ยเลี้ยงเจ้าหน้าที่ (240 บาท x จำนวน 5 คน 1 วัน)</t>
  </si>
  <si>
    <t>ค่ารถโดยสาร (รถตู้รวมค่าน้ำมัน) (2500บาท x 1 คัน x 1 วัน)</t>
  </si>
  <si>
    <t xml:space="preserve">ทำการพัฒนารวบรวมเครื่องมือการประเมิน (Assessment tools) ในการประเมินคุณค่าที่สร้างขึ้น (Created Value) ในการทำกิจกรรม CSV </t>
  </si>
  <si>
    <t>ค่าจ้างทำการพัฒนารวบรวมเครื่องมือการประเมิน (60000 บาท)</t>
  </si>
  <si>
    <t xml:space="preserve"> คัดเลือกผู้ประกอบกิจการโรงงานในพื้นที่ที่มีความพร้อม และสมัครเข้าร่วมโครงการ จำนวน 3 ราย เพื่อทำกิจกรรม</t>
  </si>
  <si>
    <t>ค่าเอกสารประกอบการรับสมัคร (50 ชุด x 200 บาท)</t>
  </si>
  <si>
    <t>ค่าติดต่อสื่อสาร (50 โรงงาน X 200 บาท)</t>
  </si>
  <si>
    <t>ค่าที่พักเจ้าหน้าที่ (800 บาท x 2 ห้อง x 2 คืน )</t>
  </si>
  <si>
    <t xml:space="preserve">ทำการเผยแพร่วิธีการทำ CSV ในเว็บไซค์ของกรมโรงงานอุตสาหกรรม และสื่อออนไลน์ต่างๆ </t>
  </si>
  <si>
    <t>ให้เกียรติบัตรเชิดชูแก่ผู้ประกอบกิจการโรงงานนำร่องที่สามรถทำกิจกรรม CSV ได้ตามวัตถุประสงค์ CSV Awards</t>
  </si>
  <si>
    <t>สถานที่และอุปกรณ์โสตฯ (5,000 บาท x 1 วัน)</t>
  </si>
  <si>
    <t>ค่าใช้จ่ายในการเปิด-ปิดการสัมมนา (800 บาท x 1 ครั้ง)</t>
  </si>
  <si>
    <t>ค่าเอกสารประกอบการสัมมนา (200 บาท x 100 คน)</t>
  </si>
  <si>
    <t>ค่าจัดทำใบประกาศ (100 ใบ x 100 บาท)</t>
  </si>
  <si>
    <t>พิธีกร (15000 บาท x 1 วัน)</t>
  </si>
  <si>
    <t>จัดทำบอร์ดนิทรรศการโครงการ (3,000 บาท x 5 ชุด)</t>
  </si>
  <si>
    <t>6.7.7</t>
  </si>
  <si>
    <t>โครงการที่ 7 โครงการพัฒนาวิสาหกิจชุมชนเชื่อมโยงกับภาคอุตสาหกรรมเพื่อการผลิตที่เป็นมิตรต่อสิ่งแวดล้อม (จังหวัดตาก)</t>
  </si>
  <si>
    <t>1. สำรวจ และเก็บข้อมูลอาชีพ และวิสาหกรรมชุมชนของคนในพื้นที่</t>
  </si>
  <si>
    <t>2. วางแผน และกำหนดรูปแบบการดำเนินงาน โดยการมีส่วนร่วมกับคนในพื้นที่</t>
  </si>
  <si>
    <t>3. จัดกิจกรรมให้คำปรึกษา วิสาหกิจชุมชน และดำเนินโครงการการนำร่อง</t>
  </si>
  <si>
    <t>4. ติดตามและแลกเปลี่ยนเรียนรู้กระบวนการทำงานตลอด</t>
  </si>
  <si>
    <t>ติดตามและแลกเปลี่ยนเรียนรู้กระบวนการทำงานตลอด</t>
  </si>
  <si>
    <t>ค่าเครื่องบินไป-กลับ (5000 บาท x 3 คน)</t>
  </si>
  <si>
    <t>6.7.8</t>
  </si>
  <si>
    <t>โครงการที่ 8 โครงการศึกษาและวิจัยศูนย์รวมขยะมูลฝอยระดับอำเภอ (จังหวัดตราด)</t>
  </si>
  <si>
    <t>1. วิเคราะห์วิธีการการนำขยะกลับมาใช้ประโยชน์เพื่อลดประมาณขยะในการกำจัด</t>
  </si>
  <si>
    <t>2. ศึกษาความเหมาะสมของพื้นที่ที่จะก่อสร้างศูนย์รวบรวมขยะรวมอำเภอพร้อมออกแบบศูนย์</t>
  </si>
  <si>
    <t>3. การมีส่วนร่วมของทุกภาคส่วนที่เกี่ยวข้อง</t>
  </si>
  <si>
    <t>4. เสนอแนะแนวทางการบริหารจัดการศูนย์รวบรวมขยะรวมอำเภอ ทั้งรูปแบบการบริหาร ค่าบริการและงบประมาณ</t>
  </si>
  <si>
    <t>วิเคราะห์วิธีการการนำขยะกลับมาใช้ประโยชน์/ศึกษาความเหมาะสมของพื้นที่/เสนอแนะแนวทางการบริหารจัดการศูนย์รวบรวมขยะรวมอำเภอ</t>
  </si>
  <si>
    <t>ค่าที่พักเจ้าหน้าที่ (800 บาท x 2ห้อง x  5 วัน )</t>
  </si>
  <si>
    <t>จัดตั้งเครือข่ายอุตสาหกรรมเชิงนิเวศ (Eco Network) ของพื้นที่เขตเศรษฐกิจพิเศษ 4 จังหวัด</t>
  </si>
  <si>
    <t>จำนวนอย่างน้อย 1 ครั้ง ครั้งละไม่น้อยกว่า 30คน/จังหวัด</t>
  </si>
  <si>
    <t>ค่าอาหารว่าง   (2 มื้อ)  (100 บาท x 120 คน )</t>
  </si>
  <si>
    <t>ค่าอาหารกลางวัน  (1 มื้อ)  (500 บาท x 120 คน)</t>
  </si>
  <si>
    <t>ค่าเครื่องบินไป-กลับ (5000 บาท x  2 จังหวัด 2 คน )</t>
  </si>
  <si>
    <t>กิจกรรมเผยแพร่องค์ความรู้ (Eco - School) 4 จังหวัดๆละ 30 คน</t>
  </si>
  <si>
    <t>ค่าเอกสารประกอบการประชุม (200 บาท x 120 คน)</t>
  </si>
  <si>
    <t>ค่าเบี้ยเลี้ยงเจ้าหน้าที่ (240 บาท x จำนวน 5คน 8 วัน)</t>
  </si>
  <si>
    <t>จัดกิจกรรมการประชาเสวนาหาทางออกเพื่อให้อยู่ร่วมกันอย่างยั่งยืน ไม่น้อยกว่าพื้นที่ละ 1 ครั้ง 4 จังหวัด</t>
  </si>
  <si>
    <t>ค่าวิทยากร  (1,200 บาท x 28 ชั่วโมง )</t>
  </si>
  <si>
    <t>ค่าอาหารว่าง (2 มื้อ)  (100 บาท x 120 คน)</t>
  </si>
  <si>
    <t>ค่าเบี้ยเลี้ยงเจ้าหน้าที่ (240 บาท x จำนวน 5 คน 8 วัน)</t>
  </si>
  <si>
    <t>ดำเนินการรวบรวม วิเคราะห์เพื่อจัดทำข้อมูลที่เกี่ยวข้องกับการดำเนินงาน 4 จังหวัด</t>
  </si>
  <si>
    <t>คู่มือเครื่องมือในการยกระดับโรงงานฯ (เล่มละ 200 x 200 เล่ม)</t>
  </si>
  <si>
    <t>คู่มือแลกเปลี่ยนเรียนรู้ฯ (เล่มละ 200 x 200 เล่ม)</t>
  </si>
  <si>
    <t>คู่มือการออกแบบเมืองฯ  (เล่มละ 200 x 200 เล่ม)</t>
  </si>
  <si>
    <t>คู่มือการพัฒนาและตัวชี้วัดฯ (เล่มละ 200 x 200 เล่ม)</t>
  </si>
  <si>
    <t>คู่มือเครือข่าย eco network  (เล่มละ 200 x 200 เล่ม)</t>
  </si>
  <si>
    <t>คู่มือ eco school (เล่มละ 200 x 200 เล่ม)</t>
  </si>
  <si>
    <t>เอกสารเผยแพร่ประชาสัมพันธ์ผลการดำเนินงานฯ(เล่มละ 200 x 200 เล่ม)</t>
  </si>
  <si>
    <t>วางแผน ออกแบบ ปรับปรุง/พัฒนา หรือจัดทำเว็บไซต์ 4 จังหวัด</t>
  </si>
  <si>
    <t>ค่าเอกสารประกอบการประชุม (200 บาท x 50 คน x 4 จังหวัด)</t>
  </si>
  <si>
    <t>ค่าสถานที่จัดประชุม (5000 บาท x 4 จังหวัด)</t>
  </si>
  <si>
    <t>ค่าอาหารว่าง   (100 บาท x 50 คน x 8 มื้อ )</t>
  </si>
  <si>
    <t>ค่าอาหารกลางวัน  (4 มื้อ)  (500 บาท x 50 คน)</t>
  </si>
  <si>
    <t>ค่าออกแบบ ปรับปรุง/พัฒนา หรือจัดทำเว็บไซต์</t>
  </si>
  <si>
    <t>ค่าที่พักเจ้าหน้าที่ (800 บาท x 2 ห้อง x 7 คืน)</t>
  </si>
  <si>
    <t>ค่าโดยสาร (รถตู้รวมค่าน้ำมัน) (2,500 บาท x 4 จังหวัด x 8 วัน)</t>
  </si>
  <si>
    <t xml:space="preserve">ค่าจัดทำรายงานผลการตรวจประเมินพื้นที่ 4 จังหวัด </t>
  </si>
  <si>
    <t>( 4 จังหวัด x 50 เล่ม)</t>
  </si>
  <si>
    <t>จัดกิจกรรมสรุปผลการดำเนินงานการพัฒนาเมืองอุตสาหกรรมเชิงนิเวศ 4 จังหวัด</t>
  </si>
  <si>
    <t>เบี้ยเลี้ยงเจ้าหน้าที่สนับสนุน</t>
  </si>
  <si>
    <t>ค่ารถโดยสาร (รถตู้รวมค่าน้ำมัน) (2500บาทx 4 วัน)</t>
  </si>
  <si>
    <t>เจ็ดล้านห้าแสนสี่หมื่นหกพันสามร้อยบาทถ้วน</t>
  </si>
  <si>
    <t>โครงการส่งเสริมโรงงานอุตสาหกรรมให้มีความรับผิดชอบต่อสังคมและชุมชนอย่างยั่งยืน</t>
  </si>
  <si>
    <t>(CSR-DIW for Beginner , CSR-DIW)</t>
  </si>
  <si>
    <t xml:space="preserve"> - ผู้จัดการโครงการ ป.โท ประสบการณ์ 10 ปี (1 คน x 90,000 บาท/เดือน x 1 เดือน)</t>
  </si>
  <si>
    <t xml:space="preserve"> - ผู้จัดการด้านการตรวจประเมินและการรับรองระบบ ป.โท ประสบการณ์ 5 ปี (1 คน x 75,000 บาท/เดือน x 2 เดือน)</t>
  </si>
  <si>
    <t xml:space="preserve"> - ผู้เชี่ยวชาญด้านการจัดการให้คำปรึกษา ป.โท ประสบการณ์ 3 ปี (2 คน x 50,000 บาท/เดือน x 2 เดือน)</t>
  </si>
  <si>
    <t xml:space="preserve"> - ผู้ประสานงานโครงการ ป.ตรี ประสบการณ์ 3 ปี (2 คน x 35,000 บาท/เดือน x9 เดือน)</t>
  </si>
  <si>
    <t xml:space="preserve"> - เจ้าหน้าที่ด้านการส่งเสริมการมีส่วนร่วม ป.ตรี  (1 คน x 15,000 บาท/เดือน x 9 เดือน)</t>
  </si>
  <si>
    <t xml:space="preserve">การจัดพิมพ์เอกสารมาตรฐาน แนวทางปฏิบัติ และรูปแบบรายงานตามมาตรฐานความรับผิดชอบของผู้ประกอบการอุตสาหกรรมต่อสังคม  </t>
  </si>
  <si>
    <t xml:space="preserve"> - จัดพิมพ์มาตรฐานฯ CSR-DIW (100 บาท x 400 เล่ม)</t>
  </si>
  <si>
    <t xml:space="preserve"> - จัดพิมพ์เอกสารแนวทางการปฏิบัติ CSR-DIW สำหรับโรงงานฯ (100 บาท x 400 เล่ม)</t>
  </si>
  <si>
    <t xml:space="preserve"> - จัดทำ DVD รวบรวมข้อมูลมาตรฐาน CSR-DIW และแนวทางปฏิบัติฯ  (10 บาท x 400 แผ่น)</t>
  </si>
  <si>
    <t xml:space="preserve"> - เอกสารและสื่ออิเลคทรอนิกส์  </t>
  </si>
  <si>
    <t xml:space="preserve"> - ประสานงาน</t>
  </si>
  <si>
    <t xml:space="preserve"> - เอกสารและสื่ออิเลคทรอนิกส์ </t>
  </si>
  <si>
    <t>1.5.1</t>
  </si>
  <si>
    <t xml:space="preserve"> กลุ่มที่ 1 จัดให้มีการเผยแพร่ความรู้และมาตรฐาน CSR-DIW กลุ่ม (Group Training) ให้กับผู้แทนของโรงงานอุตสาหกรรม     ที่เข้าร่วมโครงการในกลุ่มที่ 1 จำนวนอย่างน้อย 1 วัน จำนวนไม่น้อยกว่า 90 โรงงาน</t>
  </si>
  <si>
    <t xml:space="preserve"> - ค่าสถานที่ พร้อมตกแต่งและสิ่งอำนวยความสะดวก</t>
  </si>
  <si>
    <t xml:space="preserve"> - ค่าวิทยากรอบรมกลุ่ม (1200 บ. X 7 ชม X 20 กลุ่ม)</t>
  </si>
  <si>
    <t xml:space="preserve"> - ค่าอาหารผู้เข้าร่วมประชุม จำนวน 200 คน x 1 มื้อ (2คน/โรงงาน+เจ้าหน้าที่ 20 คน)</t>
  </si>
  <si>
    <t xml:space="preserve"> - ค่าอาหารว่าง (200 คน x 2 มื้อ) (2คน/โรงงาน+เจ้าหน้าที่ 20 คน)</t>
  </si>
  <si>
    <t xml:space="preserve"> - เอกสารประกอบการอบรม (180 โรงงาน x 2 คน x 1 ชุด (2คน/โรงงาน)</t>
  </si>
  <si>
    <t xml:space="preserve"> - ค่าติดต่อประสานงาน</t>
  </si>
  <si>
    <t>1.5.2</t>
  </si>
  <si>
    <t>กลุ่มที่ 2 จัดให้มีการเผยแพร่ความรู้และมาตรฐาน CSR-DIW กลุ่ม (Group Training) ให้กับผู้แทนของโรงงานอุตสาหกรรม     ที่เข้าร่วมโครงการในกลุ่มที่ 2 จำนวนอย่างน้อย 2 วัน จำนวนไม่น้อยกว่า 60 โรงงาน</t>
  </si>
  <si>
    <t xml:space="preserve"> - ค่าวิทยากรอบรมกลุ่ม (1200 บ. X 7 ชม X 6 กลุ่ม X 2 วัน)</t>
  </si>
  <si>
    <t xml:space="preserve"> - ค่าอาหารผู้เข้าร่วมประชุม (140 คน x 1 มื้อ x 2 วัน)  (2คน/โรงงาน+เจ้าหน้าที่ 20 คน)</t>
  </si>
  <si>
    <t xml:space="preserve"> - ค่าอาหารว่าง  (140 คน x 2 มื้อx 2วัน) (2คน/โรงงาน+เจ้าหน้าที่ 20 คน)</t>
  </si>
  <si>
    <t xml:space="preserve"> - เอกสารประกอบการอบรม (120 คน x 1 ชุด x 100 บาท)  (2คน/โรงงาน)</t>
  </si>
  <si>
    <t>1.6.1</t>
  </si>
  <si>
    <t>กลุ่มที่ 1 จัดให้คำปรึกษา (Coaching) โรงงานกลุ่มที่ 1 CSR-DIW for beginner Award ให้ความรู้ด้านการดำเนินงานตามเกณฑ์มาตรฐานความรับผิดชอบต่อสังคม จำนวนอย่างน้อย 1 ครั้ง จำนวนไม่น้อยกว่า 90 โรงงาน</t>
  </si>
  <si>
    <t>1.6.2</t>
  </si>
  <si>
    <t>กลุ่มที่ 2 จัดให้คำปรึกษา (Coaching) โรงงานกลุ่มที่ 2 CSR-DIW ให้ความรู้ด้านการดำเนินงานตามเกณฑ์มาตรฐานความรับผิดชอบต่อสังคม ณ สถานประกอบการ โดยมีระยะเวลาในการฝึกอบรม รวมทั้งสิ้นไม่น้อยกว่า 240 วัน-คน (Man-day)</t>
  </si>
  <si>
    <t xml:space="preserve"> - ติดต่อประสานงานโรงงาน (60 โรงงาน x 3 ครั้ง x ค่าประสานงาน 200 บาท)</t>
  </si>
  <si>
    <t xml:space="preserve"> - ค่าเช่ารถ รวมน้ำมัน (2500 บาท x 60 โรงงาน x 3 ครั้ง)</t>
  </si>
  <si>
    <t xml:space="preserve"> - เบี้ยเลี้ยงเจ้าหน้าที่สนับสนุน (240 x 60 โรงงาน x 3 ครั้ง)</t>
  </si>
  <si>
    <t xml:space="preserve"> - ค่าเครื่องบินวิทยากร ผู้เชี่ยวชาญ (2500 บาท x 22 คน x 6 เที่ยว (ไป-กลับ))</t>
  </si>
  <si>
    <t xml:space="preserve"> - ค่าที่พักวิทยากรอบรม (1200 บาท x 60 โรงงาน x 3 คืน</t>
  </si>
  <si>
    <t xml:space="preserve"> - เอกสารประกอบการอบรม ( 100 บาท x 60 โรงงาน x โรงงานละ 2 คน)</t>
  </si>
  <si>
    <t xml:space="preserve"> - วิทยากรที่ปรึกษา Coaching ณ สถานประกอบการ CSR-DIW ป.ตรี ประสบการณ์ 3 ปี (20 คน x 8,400 บ.(วัน-คน) x 15 วัน)  </t>
  </si>
  <si>
    <t>1.7.1</t>
  </si>
  <si>
    <t>กลุ่มที่ 1 CSR-DIW beginner ทวนสอบโดยผู้ทวนสอบตามมาตรฐาน CSR-DIW ไม่น้อยกว่า 1 ครั้งต่อโรงงาน ณ สถานประกอบการ โดยมีเป้าหมายโรงงานอุตสาหกรรมที่ได้รับเกียรติบัตรการปฏิบัติตามเกณฑ์มาตรฐาน CSR-DIW จำนวนไม่น้อยกว่า 90 โรงงาน</t>
  </si>
  <si>
    <t xml:space="preserve"> - ติดต่อประสานงานโรงงาน (90 โรงงาน x 1 ครั้ง x ค่าประสานงาน 200 บาท)</t>
  </si>
  <si>
    <t xml:space="preserve"> - ค่าเช่ารถ รวมน้ำมัน (2500 บาท x 90 โรงงาน x 1 ครั้ง)</t>
  </si>
  <si>
    <t xml:space="preserve"> - เบี้ยเลี้ยงเจ้าหน้าที่สนับสนุน (240 x 90 โรงงาน x 1 ครั้ง)</t>
  </si>
  <si>
    <t xml:space="preserve"> - ค่าที่พักวิทยากรอบรม (1200 บาท x 90 โรงงาน x 3 คืน</t>
  </si>
  <si>
    <t xml:space="preserve"> - เอกสารประกอบการอบรม ( 100 บาท x 90 โรงงาน x โรงงานละ 2 คน)</t>
  </si>
  <si>
    <t>1.7.2</t>
  </si>
  <si>
    <t>กลุ่มที่ 2 CSR-DIW ทวนสอบโดยผู้ทวนสอบตามมาตรฐาน CSR-DIW ไม่น้อยกว่า 420 วัน-คน (Man-day) ณ สถานประกอบการ โดยมีเป้าหมายโรงงานอุตสาหกรรมที่ได้รับเกียรติบัตรการปฏิบัติตามเกณฑ์มาตรฐาน CSR-DIW จำนวนไม่น้อยกว่า 60 โรงงาน</t>
  </si>
  <si>
    <t xml:space="preserve"> - ติดต่อประสานงานโรงงาน (60 โรงงาน x 2 ครั้ง x ค่าประสานงาน 200 บาท)</t>
  </si>
  <si>
    <t xml:space="preserve"> - ค่าเช่ารถ รวมน้ำมัน (2500 บาท x 60 โรงงาน x 2 ครั้ง)</t>
  </si>
  <si>
    <t xml:space="preserve"> - เบี้ยเลี้ยงเจ้าหน้าที่สนับสนุน (240 x 60 โรงงาน x 2 ครั้ง)</t>
  </si>
  <si>
    <t xml:space="preserve"> - ค่าเครื่องบินวิทยากร ผู้เชี่ยวชาญ (2500 บาท x 15 คน x 4 เที่ยว (ไป-กลับ))</t>
  </si>
  <si>
    <t xml:space="preserve"> - ค่าที่พักวิทยากรอบรม (1200 บาท x 60 โรงงาน x 3 คืน)</t>
  </si>
  <si>
    <t xml:space="preserve"> - ผู้ประเมิน Verifying ณ สถานประกอบการ CSR-DIW ป.ตรี ประสบการณ์ 3 ปี   (15 คน x 8,400 บ.(วัน-คน) x 13 วัน)</t>
  </si>
  <si>
    <t xml:space="preserve"> - ค่าสถานที่ </t>
  </si>
  <si>
    <t xml:space="preserve"> - เอกสารประกอบการอบรม ( 100 บาท x 30 ชุด)</t>
  </si>
  <si>
    <t xml:space="preserve"> - ค่าอาหารผู้เข้าร่วมประชุม (200 บาทx 30ชุด)</t>
  </si>
  <si>
    <t xml:space="preserve"> - ค่าอาหารว่าง  (70 บาทx 30 คน)</t>
  </si>
  <si>
    <t xml:space="preserve"> -  ค่าสถานที่จัดประชุมประจำเดือน (5000 บ X 9 ครั้ง)</t>
  </si>
  <si>
    <t xml:space="preserve"> - พัฒนาสื่อเครือข่ายทาง Website  </t>
  </si>
  <si>
    <t xml:space="preserve"> -  การรวบรวมข้อมูลผลการดำเนินงานโครงการ CSR-DIW  </t>
  </si>
  <si>
    <t xml:space="preserve"> - พิธีกร (1 คน /1 ครั้ง)</t>
  </si>
  <si>
    <t xml:space="preserve"> - เบี้ยเลี้ยงเจ้าหน้าที่ ( 600 บาท x 50 คน)</t>
  </si>
  <si>
    <t xml:space="preserve"> - ค่าเช่ารถ รวมน้ำมัน (2500 บาท x 10 คัน x 1 วัน)</t>
  </si>
  <si>
    <t xml:space="preserve"> - โล่รางวัล ( 1000 บาทx  150 อัน)</t>
  </si>
  <si>
    <t xml:space="preserve"> - ประกาศเกียรติบัตร ( 100 บาทx  150 ใบ)</t>
  </si>
  <si>
    <t>จัดทำเอกสารรายงาน</t>
  </si>
  <si>
    <t xml:space="preserve"> - แผนการดำเนินโครงการ 10 ฉบับ พร้อม CD-Rom 1 แผ่น (500 บาท x 10 ฉบับ)</t>
  </si>
  <si>
    <t xml:space="preserve"> - รายงานฉบับต้น 10 ฉบับ พร้อม CD-Rom 1 แผ่น (800 บาท x 10 ฉบับ)</t>
  </si>
  <si>
    <t xml:space="preserve"> - รายงานความก้าวหน้าฉบับกลาง 10 ฉบับ พร้อม CD-Rom 1 แผ่น (800 บาท x 10 ฉบับ)</t>
  </si>
  <si>
    <t xml:space="preserve"> - ร่างรายงานฉบับสมบูรณ์ 10 ฉบับ พร้อม CD-Rom 1 แผ่นพร้อม CD-Rom (800 บาท x 10 ฉบับ)</t>
  </si>
  <si>
    <t xml:space="preserve"> - รายงานฉบับสมบูรณ์ ภาษาไทย พร้อม CD-Rom (800 บาท x 10 ฉบับ)</t>
  </si>
  <si>
    <t xml:space="preserve"> - รายงานสรุปสำหรับผู้บริหารภาษาไทย (500 บาท x 10 ฉบับ)</t>
  </si>
  <si>
    <t xml:space="preserve"> - รายงานสรุปสำหรับผู้บริหารภาษาอังกฤษ (500 บาท x 10 ฉบับ)</t>
  </si>
  <si>
    <t>รวมเงิน 
(บาท)</t>
  </si>
  <si>
    <t>1.</t>
  </si>
  <si>
    <t xml:space="preserve"> - ผู้เชี่ยวชาญด้านการจัดการก๊าซเรือนกระจก ป.โท สาขาวิศวกรรมศาสตร์ หรือวิทยาศาสตร์ หรือสาขาที่เกี่ยวข้อง ประสบการณ์ ไม่ต่ำกว่า ๑๐ ปี (๕๐,๐๐๐ X ๙ เดือน X ๑ คน) </t>
  </si>
  <si>
    <t xml:space="preserve"> - ผู้เชี่ยวชาญด้านอุตสาหกรรม ป.โท สาขาวิทยาศาสตร์ หรือวิศวกรรมศาสตร์หรือเศรษฐศาสตร์ ประสบการณ์ที่เกี่ยวข้องด้านโรงงานอุตสาหกรรม ไม่ต่ำกว่า ๑๐ ปี (๕๐,๐๐๐ X ๙ เดือน X ๑ คน)</t>
  </si>
  <si>
    <t xml:space="preserve"> - ผู้เชี่ยวชาญด้านสิ่งแวดล้อม ป.โท สาขาวิทยาศาสตร์ หรือวิศวกรรมศาสตร์สาขาสิ่งแวดล้อมหรือที่เกี่ยวข้อง ประสบการณ์ ไม่ต่ำกว่า ๑๐ ปี (๕๐,๐๐๐ X ๙ เดือน X ๑ คน)</t>
  </si>
  <si>
    <t xml:space="preserve"> - ผู้เชี่ยวชาญด้านระบบคอมพิวเตอร์ ป.ตรี ด้านคอมพิวเตอร์ ประสบการณ์ที่เกี่ยวข้องกับการเขียนโปรแกรมคอมพิวเตอร์ การวางระบบไม่ต่ำกว่า ๑๐ ปี (๕๐,๐๐๐ X ๙ เดือน X ๑ คน)</t>
  </si>
  <si>
    <t xml:space="preserve"> - ผู้ประสานงานโครงการ ป.ตรี ประสบการณ์ ไม่ต่ำกว่า ๓ ปี (๒๐,๐๐๐ X ๙ เดือน X ๑ คน)</t>
  </si>
  <si>
    <t xml:space="preserve"> - เจ้าหน้าที่สนับสนุนโครงการ ป.ตรี และมีประสบการณ์ ไม่ต่ำกว่า ๒ ปี (๓๐,๐๐๐ X ๙ เดือน X ๒ คน)</t>
  </si>
  <si>
    <t xml:space="preserve"> - เจ้าหน้าที่ประจำโครงการ ป.ตรี วิศวกรรมศาสตรบัณฑิต หรือวิทยาศาสตรบัณฑิต เพื่อดำเนินโครงการ ณ สำนักสนธิสัญญาและยุทธศาสตร์ กรมโรงงานอุตสาหกรรม จำนวน ๒ คน 
(๓๐,๐๐๐ X ๙ เดือน X ๒ คน)</t>
  </si>
  <si>
    <t>2.</t>
  </si>
  <si>
    <t xml:space="preserve">งบดำเนินการ </t>
  </si>
  <si>
    <t xml:space="preserve"> - ค่าจัดทำคู่มือการตรวจวัด รายงาน และทวนสอบ (MRV) รวมไม่น้อยกว่า ๑,๕๐๐ เล่ม [๒๐๐ บาท x ๑,๕๐๐ เล่ม =  บาท]</t>
  </si>
  <si>
    <t xml:space="preserve"> - ค่าจัดทำรายงานและเอกสารเผยแพร่</t>
  </si>
  <si>
    <t xml:space="preserve">    - รายงานฉบับต้น (๓๐๐ บาท x ๑๐ ชุด)</t>
  </si>
  <si>
    <t xml:space="preserve">    - รายงานบทสรุปสำหรับผู้บริหาร (ภาษาไทยและภาษาอังกฤษ)   (๓๐๐ บาท x ๑๐๐ เล่ม)</t>
  </si>
  <si>
    <t xml:space="preserve"> - ค่าวัสดุอุปกรณ์ (10,000 บาท/เดือน x 9 เดือน)</t>
  </si>
  <si>
    <t xml:space="preserve"> - ค่าใช้จ่ายในการติดต่อสื่อสาร (10,000 บาท/เดือน x 9 เดือน)</t>
  </si>
  <si>
    <t xml:space="preserve"> - ค่าใช้จ่ายเบ็ดเตล็ด </t>
  </si>
  <si>
    <t xml:space="preserve"> - ค่าวัสดุสิ้นเปลือง : (๑๐,๐๐๐ บาท x ๙ เดือน)</t>
  </si>
  <si>
    <t>3.</t>
  </si>
  <si>
    <t>ค่าใช้จ่ายอื่น ๆ</t>
  </si>
  <si>
    <t xml:space="preserve">    - ค่ายานพาหนะ (รถตู้+น้ำมัน) (๒,๘๐๐ บาท/คัน x ๕๐ วัน x ๑ คัน x ๒ ครั้ง)</t>
  </si>
  <si>
    <t xml:space="preserve">    - ค่าที่พัก (๗๕๐ บาท/คน/วัน x ๒๕ คืน x ๑๐ คน x ๒ ครั้ง)</t>
  </si>
  <si>
    <t xml:space="preserve">    - ค่าเบี้ยเลี้ยงที่ปรึกษา (๒๔๐ บาท/คน/วัน x ๔ คน x ๕๐ วัน x ๒ ครั้ง)</t>
  </si>
  <si>
    <t xml:space="preserve">    - ค่าอาหาร (๑๐๐ คน x ๔๐๐ บาท/คน)</t>
  </si>
  <si>
    <t xml:space="preserve">    - ค่าอาหารว่างและเครื่องดื่ม (๑๐๐ คน x ๕๐ บาท/คน x ๒ (เช้า/บ่าย)) </t>
  </si>
  <si>
    <t xml:space="preserve">    - ค่าเช่าสถานที่และอุปกรณ์ </t>
  </si>
  <si>
    <t xml:space="preserve">    - ค่าเอกสาร   (๑๐๐ คน x ๗๐ บาท/ชุด)</t>
  </si>
  <si>
    <t xml:space="preserve">     - ค่าอาหาร (๒๐๐ คน x ๔๐๐ บาท/คน)</t>
  </si>
  <si>
    <t xml:space="preserve">     - ค่าอาหารว่างและเครื่องดื่ม (๒๐๐ คน x ๕๐ บาท/คน x ๒ (เช้า/บ่าย) )</t>
  </si>
  <si>
    <t xml:space="preserve">     - ค่าเช่าสถานที่และอุปกรณ์ </t>
  </si>
  <si>
    <t xml:space="preserve">     - ค่าเอกสาร (๒๐๐ คน x ๗๐ บาท/ชุด)</t>
  </si>
  <si>
    <t>ค่าดำเนินการรวมภาษีมูลค่าเพิ่ม</t>
  </si>
  <si>
    <t>โครงการจัดการนวัตกรรมเทคโนโลยีการบำบัดสีในน้ำทิ้งอุตสาหกรรม</t>
  </si>
  <si>
    <t xml:space="preserve">โครงการประเมินศักยภาพและพัฒนาการจัดการน้ำเสียของเขตประกอบการอุตสาหกรรม ชุมชน อุตสาหกรรม พื้นที่ลุ่มน้ำเจ้าพระยา แม่กลอง ท่าจีน </t>
  </si>
  <si>
    <t xml:space="preserve"> โครงการความร่วมมือเพื่อดำเนินการตามอนุสัญญา และพิธีสารข้อตกลงระหว่างประเทศด้านสิ่งแวดล้อม ด้านความปลอดภัย สารเคมี วัตถุอันตรายภาคอุตสาหกรรม</t>
  </si>
  <si>
    <t xml:space="preserve">สรุปรายละเอียดค่าใช้จ่ายในการดำเนินโครงการ (8.5) </t>
  </si>
  <si>
    <t>สำรวจ และเก็บข้อมูลของพทื้นที่/ศึกษาความเป็นไปได้และจัดทำรายงาน/ออกแบบก่อสร้างเขตประกอบการอุตสาหกรรม/ติดตามและแลกเปลี่ยนเรียนรู้</t>
  </si>
  <si>
    <t>ตรวจประเมินและจัดทำรายงานผลการตรวจประเมินและนำเสนอผลการตรวจต่อคณะกรรมการพัฒนาเมืองอุตสาหกรรมเชิงนิเวศระดับจังหวัด 4 จังหวัด</t>
  </si>
  <si>
    <t>โครงการที่ 1  ศึกษาและออกแบบการจัดตั้งพื้นที่เขตประกอบการอุตสาหกรรมตามแนวทางการพัฒนาเมืองอุตสาหกรรมเชิงนิเวศ (จังหวัดมุกดาหาร)</t>
  </si>
  <si>
    <t>โครงการที่ 2 โครงการศึกษาความเหมาะสมในการพัฒนา Eco Mini Factory Parks รองรับธุรกิจขนาดกลางและขนาดเล็ก (SME) ที่เป็นมิตรต่อสิ่งแวดล้อม (จังหวัดมุกดาหาร จังหวัดสระแก้ว จังหวัดตาก)</t>
  </si>
  <si>
    <t>จัดตั้งศูนย์ให้คำปรึกษาด้านกฏหมายสิ่งแวดล้อมและความปลอดภัยพร้อมมีเจ้าหน้าที่ประจำศูนย์/คัดเลือกกรณีศึกษาปัญหาของโรงงาน/ถอดบทเรียนกรณีศึกษาและเผยแพร่ผ่านเว็บไซค์</t>
  </si>
  <si>
    <t>รวมเงิน(บาท)</t>
  </si>
  <si>
    <t xml:space="preserve"> </t>
  </si>
  <si>
    <t xml:space="preserve">             โครงการการติดตามตรวจสอบและประเมินผลการพัฒนาเมืองอุตสาหกรรมเชิงนิเวศ 19 จังหวัด 22 พื้นที่</t>
  </si>
  <si>
    <t>สรุปรายละเอียดค่าใช้จ่ายในการดำเนินโครงการ (8.1)</t>
  </si>
  <si>
    <t>สรุปรายละเอียดค่าใช้จ่ายในการดำเนินโครงการ (8.2)</t>
  </si>
  <si>
    <t>สรุปราคากลางค่าใช้จ่ายในการดำเนินโครงการ (8.3)</t>
  </si>
  <si>
    <t>สรุปรายละเอียดค่าใช้จ่ายในการดำเนินโครงการ (8.4)</t>
  </si>
  <si>
    <t xml:space="preserve">โครงการที่ 1 ปรับปรุงภูมิทัศน์และเพิ่มพื้นที่สีเขียวเพื่อนันทนาการพื้นที่โล่ง และพื้นที่แนวป้องกันมลพิษ (buffer Zone) (พระนครศรีอยุธยา ราชบุรี สระบุรี ปราจีนบุรี) </t>
  </si>
  <si>
    <t>ประสานจัดกิจกรรมเพิ่มพื้นที่สีเขียว และพื้นที่แนวป้องกันมลพิษ ให้กับสถานประกอบการ อุตสาหกรรมร่วมกับหน่วยงานองค์กรปกครองส่วนท้องถิ่นในพื้นที่  8 จังหวัด</t>
  </si>
  <si>
    <t>โครงการที่ 2 ส่งเสริมให้ สถานประกอบการนำของเสียมาใช้ประโยชน์และการพัฒนาธุรกิจรีไซเคิล/อัพไซเคิลเพื่อเพิ่มมูลค่าและใช้ประโยชน์กากอุตสาหกรรม (พระนครศรีอยุธยา นครราชสีมา ขอนแก่น สระบุรี ปราจีนบุรี)</t>
  </si>
  <si>
    <t>โครงการที่ 5 โครงการส่งเสริมเชื่อมโยงอุตสาหกรรมหลักกับชุมชนเพื่อให้เกิดการผลิตในระดับอุตสาหกรรม (CSV) (พระนครศรีอยุธยา สระบุรี ราชบุรี ปราจีน นครราชสีมา และขอนแก่น)</t>
  </si>
  <si>
    <t>1. ส่งเสริมความเชื่อมโยงอุตสาหกรรมหลักกับชุมชนโดยคัดเลือกผู้ประกอบกิจการในโรงงานพื้นที่ที่มีความพร้อม จำนวน 1 ราย เพื่อทำกิจกรรม (CSV) เต็มรูปแบบ</t>
  </si>
  <si>
    <t>ส่งเสริมความเชื่อมโยงอุตสาหกรรมหลักกับชุมชนโดยคัดเลือกผู้ประกอบกิจการในโรงงานพื้นที่ที่มีความพร้อม จำนวน 1 ราย เพื่อทำกิจกรรม (CSV) เต็มรูปแบบ</t>
  </si>
  <si>
    <t>2. สนับสนุนให้กลุ่มอุตสาหกรรมยางพาราในพื้นที่หาดใหญ่และฉลุง ได้มีการพัฒนาปรับปรุงกระบวนการผลิตรวมถึงงานวิจัยและนวัตกรรม การสร้างสรรค์ ผลิตภัณฑ์ยางพาราเข้ามาประยุกต์ใช้ ทำให้สามารถลดต้นทุนการผลิตเพิ่มประสิทธิภาพและมียอดขายเพิ่มขึ้น</t>
  </si>
  <si>
    <t>4. ขยายเครือข่ายอุตสาหกรรมยางพาราในพื้นที่เป้าหมายเพิ่มศักยภาพในการแข่งขันของอุตสาหกรรมยางพาราในระดับต้นน้ำ กลางน้ำ และปลายน้ำ เพื่อรองรับการเปิดประตูสู่เขตการค้าเสรี ประชาคม เศรษฐกิจอาเซียน (AEC)</t>
  </si>
  <si>
    <t>สนับสนุนให้กลุ่มอุตสาหกรรมยางพาราในพื้นที่หาดใหญ่และฉลุง/ยกระดับความเป็นมิตรต่อสิ่งแวดล้อมในอุตสาหกรรมยางพาราตั้งแต่ระดับต้นน้ำ กลางน้ำ และปลายน้ำ / ขยายเครือข่าย</t>
  </si>
  <si>
    <t>จัดกิจกรรมการประชาเสวนาหาทางออกเพื่อให้อยู่ร่วมกันอย่างยั่งยืนรับฟังความคิดเห็นฯ ไม่น้อยกว่าพื้นที่ละ        1 ครั้ง 8 จังหวัด</t>
  </si>
  <si>
    <t>ตรวจประเมินและจัดทำรายงานผลการตรวจประเมินและนำเสนอผลการตรวจต่อคณะกรรมการพัฒนาเมืองอุตสาหกรรมเชิงนิเวศระดับจังหวัดในพื้นที่เป้าหมาย 8 จังหวัด</t>
  </si>
  <si>
    <t>จัดกิจกรรมสรุปผลการดำเนินงานการพัฒนาเมืองอุตสาหกรรมเชิงนิเวศ จำนวนอย่างน้อย ๑ ครั้ง/จังหวัดๆ       ละ 50 คน</t>
  </si>
  <si>
    <t xml:space="preserve">    - รายงานความก้าวหน้าฉบับกลาง (๔๐๐ บาท x ๑๐ ชุด)</t>
  </si>
  <si>
    <t xml:space="preserve">    - รายงานร่างรายงานฉบับสมบูรณ์ (๕๐๐ บาท x ๑๐ ชุด)</t>
  </si>
  <si>
    <t xml:space="preserve">    - รายงานฉบับสมบูรณ์ (๕๐๐ บาท x ๕๐ ชุด)</t>
  </si>
  <si>
    <t xml:space="preserve"> - ผู้จัดการโครงการ ป.โท ประสบการณ์ ไม่ต่ำกว่า 15 ปี  (60,000 X 9 เดือน X 1 คน)</t>
  </si>
  <si>
    <t>สรุปรายละเอียดค่าใช้จ่ายในการดำเนินโครงการ (8.7)</t>
  </si>
  <si>
    <t>สรุปราคากลางค่าใช้จ่ายในการดำเนินโครงการ (4.1)</t>
  </si>
  <si>
    <t>สรุปรายละเอียดค่าใช้จ่ายในการดำเนินโครงการ (8.6)</t>
  </si>
  <si>
    <t>สรุปรายละเอียดค่าใช้จ่ายในการดำเนินโครงการ (4.2)</t>
  </si>
  <si>
    <t xml:space="preserve">จำนวนที่
ปรึกษา (คน)
</t>
  </si>
  <si>
    <t xml:space="preserve">ระยะเวลา
(เดือน)
</t>
  </si>
  <si>
    <t xml:space="preserve">รวมเงิน
</t>
  </si>
  <si>
    <t>คอลัมน์/...)</t>
  </si>
  <si>
    <t>ต่อครั้ง</t>
  </si>
  <si>
    <t xml:space="preserve">  - ค่าจัดเตรียมเอกสารประกอบการประชุม</t>
  </si>
  <si>
    <t xml:space="preserve">  - ค่าเช่ายานพาหนะ</t>
  </si>
  <si>
    <t xml:space="preserve">  - ค่าอาหาร (วันละ 500 บาท/คน/วัน) </t>
  </si>
  <si>
    <t xml:space="preserve">  - ค่าที่พัก (พัก 1 คืน 6 ห้อง ห้องละ 1,000 บาท)</t>
  </si>
  <si>
    <t>การสำรวจและศึกษาเชิงประจักษ์จากการดำเนินการที่เป็นต้นแบบและเป็นที่ยอมรับ</t>
  </si>
  <si>
    <t xml:space="preserve">  - ค่าสำรวจและศึกษาเชิงประจักษ์จากการดำเนินการที่เป็นต้นแบบและเป็นที่ยอมรับ</t>
  </si>
  <si>
    <t>เหมาจ่าย</t>
  </si>
  <si>
    <t xml:space="preserve">  - ค่าจัดทำแผนที่แสดงแผนการกำหนดพื้นที่อุตสาหกรรม</t>
  </si>
  <si>
    <t>การจัดทำสื่อประชาสัมพันธ์</t>
  </si>
  <si>
    <t xml:space="preserve">  - ค่าจัดทำสื่อประชาสัมพันธ์</t>
  </si>
  <si>
    <t>การจัดทำรายงาน</t>
  </si>
  <si>
    <t xml:space="preserve">  - ค่าจัดทำรายงาน</t>
  </si>
  <si>
    <t>การประสานงาน</t>
  </si>
  <si>
    <t xml:space="preserve">  - ค่าใช้จ่ายสำหรับการประสานงาน</t>
  </si>
  <si>
    <t>ค่าตอบแทนบุคลากร</t>
  </si>
  <si>
    <t>รายการค่าใช้จ่าย</t>
  </si>
  <si>
    <t xml:space="preserve">อัตราจ้าง
</t>
  </si>
  <si>
    <t>- ผู้ช่วยเลขานุการโครงการ  ป.ตรี ประสบการณ์ 5 ปี (1 คน x 25,900 บาท/เดือน x 2.475 x 5 เดือน)</t>
  </si>
  <si>
    <t>บุคลากรหลัก</t>
  </si>
  <si>
    <t>บุคลากรสนับสนุน</t>
  </si>
  <si>
    <t>ค่าใช้จ่ายในการดำเนินการ</t>
  </si>
  <si>
    <t xml:space="preserve">  - ค่าเช่ายานพาหนะ รวมน้ำมันเชื้อเพลิง</t>
  </si>
  <si>
    <t xml:space="preserve">  - ค่าสถานที่และโสตอุปกรณ์</t>
  </si>
  <si>
    <t xml:space="preserve">  - ค่าอาหารว่างและเครื่องดื่ม (2 มื้อๆละ 50 บาท X 10 คน)</t>
  </si>
  <si>
    <t xml:space="preserve">  - ค่าอาหาร (มื้อละ 500 บาท/คน/วัน) </t>
  </si>
  <si>
    <t xml:space="preserve">  - ค่าสถานที่ และโสตอุปกรณ์</t>
  </si>
  <si>
    <t>- เลขานุการโครงการ  ป.ตรี ประสบการณ์ 5 ปี                        (1 คน x 25,900 บาท/เดือน x 2.475 x 5 เดือน)</t>
  </si>
  <si>
    <t>ช=</t>
  </si>
  <si>
    <t>ค่าใช้จ่ายเบ็ดเตล็ด</t>
  </si>
  <si>
    <t xml:space="preserve">  - ค่าใช้จ่ายเบ็ดเตล็ด</t>
  </si>
  <si>
    <t>สรุปรายละเอียดค่าใช้จ่ายในการดำเนินโครงการ (7.3.1)</t>
  </si>
  <si>
    <t>สรุปรายละเอียดค่าใช้จ่ายในการดำเนินโครงการ (7.3.2)</t>
  </si>
  <si>
    <t xml:space="preserve">โครงการศึกษา วิเคราะห์ และจัดทำข้อเสนอการควบคุมวัตถุอันตรายและทำเนียบข้อมูลวัตถุอันตราย
งบประมาณรวม 3,000,000 บาท </t>
  </si>
  <si>
    <t xml:space="preserve">สรุปรายละเอียดค่าใช้จ่ายในการดำเนินโครงการ </t>
  </si>
  <si>
    <t>6. โครงการพัฒนาพื้นที่อุตสาหกรรมอย่างมีศักยภาพเพื่อรองรับการลงทุน</t>
  </si>
  <si>
    <t>- ค่าอาหารกลางวัน</t>
  </si>
  <si>
    <t>- ค่าอาหารว่างและเครื่องดื่ม (มื้อละ50 บาท X 2 มื้อ)</t>
  </si>
  <si>
    <t xml:space="preserve">- ค่าพาหนะ (รถตู้รวมค่าน้ำมัน) </t>
  </si>
  <si>
    <t>2. focus group เรื่อง เทคโนโลยีการบำบัดสี</t>
  </si>
  <si>
    <t>3. เผยแพร่แบบจำลองเทคโนโลยีการบำบัดสี จำนวน 4 ภูมิภาค</t>
  </si>
  <si>
    <t>3. งบดำเนินการ</t>
  </si>
  <si>
    <t>2. บุคลากรสนับสนุน</t>
  </si>
  <si>
    <t>1. บุคลากรหลัก</t>
  </si>
  <si>
    <t>สรุปรายละเอียดค่าใช้จ่ายในการดำเนินโครงการ (1.1)</t>
  </si>
  <si>
    <t>โครงการเสริมสร้างศักยภาพโรงงานมุ่งสู่การพัฒนาด้านสิ่งแวดล้อมและความรับผิดชอบต่อสังคมอย่างยั่งยืน</t>
  </si>
  <si>
    <t>1.1 โครงการเร่งรัดการจดทะเบียนเครื่องจักรของวิสาหกิจขนาดกลางและขนาดย่อม</t>
  </si>
  <si>
    <t>ส่งเสริม สนับสนุนและเผยแพร่องค์ความรู้ให้ผู้ประกอบการให้มีการจดทะเบียนเครื่องจักร</t>
  </si>
  <si>
    <t xml:space="preserve"> บุคลากรหลัก</t>
  </si>
  <si>
    <t>ผู้เชี่ยวชาญด้านเศรษฐศาสตร์ (7 ปี)</t>
  </si>
  <si>
    <t>ผู้เชี่ยวชาญด้านวิศวกรรม (10 ปี)</t>
  </si>
  <si>
    <t>นักวิเคราะห์ข้อมูล (5 ปี)</t>
  </si>
  <si>
    <t>เจ้าหน้าที่ประสานงาน (2 ปี)</t>
  </si>
  <si>
    <t>การประชุมสัมมนาเครือข่าย โดยมีผู้เข้าร่วมสัมมนาไม่น้อยกว่า 150 คน จำนวน 2 ครั้ง</t>
  </si>
  <si>
    <t>- ค่าอาหาร (อาหารกลางวัน และ อาหารว่าง 2 มื้อ x 150 คน x 2 ครั้ง)</t>
  </si>
  <si>
    <t>- ค่าสถานที่จัดประชุมและตกแต่งสถานที่ 
(10,000 บาท x 2 ครั้ง)</t>
  </si>
  <si>
    <t>- ค่าเอกสารการประชุม (150 คน x 100 บาท x 2 ครั้ง)</t>
  </si>
  <si>
    <t>- ค่าวิทยากร (1,200 บาท x 6 ชม x 2 ครั้ง)</t>
  </si>
  <si>
    <t>กิจกรรมแปลงเครื่องจักรเป็นทุน</t>
  </si>
  <si>
    <t>การจดทะเบียนโดยการตรวจสอบและจัดทำรายงาน โดยการว่าจ้างผู้ตรวจสอบเครื่องจักรเอกชน (500 แห่ง * 8,000 บาท)</t>
  </si>
  <si>
    <t>กิจกรรมปรับเปลี่ยนเครื่องจักร</t>
  </si>
  <si>
    <t xml:space="preserve">การนำเสนอโรงงานที่ผ่านการคัดเลือกให้สถาบันการเงิน และขอรับสิทธิจาก BOI </t>
  </si>
  <si>
    <t xml:space="preserve">การติดตามการปรับเปลี่ยนเครื่องจักรทั่วประเทศ </t>
  </si>
  <si>
    <t>- เบี้ยเลี้ยงเจ้าหน้าที่ (8 คน x 2 วัน x 10 ครั้ง)</t>
  </si>
  <si>
    <t xml:space="preserve">- ค่าเดินทาง ค่ารถสำหรับเจ้าหน้าที่สนับสนุน (2 คัน x 2 วัน x 10 ครั้ง) </t>
  </si>
  <si>
    <t>- ค่าที่พัก เจ้าหน้าที่สนับสนุน (8 ห้อง x 1 คืน  x 10 ครั้ง)</t>
  </si>
  <si>
    <t>การจัดทำเอกสารรายงาน</t>
  </si>
  <si>
    <t xml:space="preserve">รายงานฉบับที่ 1 </t>
  </si>
  <si>
    <t>รายงานฉบับที่ 2</t>
  </si>
  <si>
    <t>รายงานฉบับที่ 3</t>
  </si>
  <si>
    <t>สิบสามล้านหนึ่งแสนหนึ่งหมื่นสี่พันแปดร้อยบาทถ้วน</t>
  </si>
  <si>
    <t>- ค่าจ้างในการจัดทำเอกสาร</t>
  </si>
  <si>
    <t>- ค่าจ้างในการตรวจสอบและจัดทำรายการตรวจสอบ</t>
  </si>
  <si>
    <t>- ค่าใช้จ่ายอื่นๆ เช่น ค่าติดต่อประสานงาน</t>
  </si>
  <si>
    <t>สรุปราคากลางค่าใช้จ่ายในการดำเนินโครงการ</t>
  </si>
  <si>
    <t>สรุปรายละเอียดค่าใช้จ่ายในการดำเนินโครงการ</t>
  </si>
  <si>
    <t>1.2 โครงการพัฒนาและขึ้นทะเบียนวิทยากรที่ปรึกษาด้านการบำรุงรักษาเครื่องจักร
สำหรับผู้ประกอบการ SME</t>
  </si>
  <si>
    <t>จัดทำหลักสูตรและแนวทางการทดสอบวัดผล วิทยากรที่ปรึกษาด้านการบำรุงรักษาเครื่องจักร</t>
  </si>
  <si>
    <t xml:space="preserve"> - ผู้จัดการโครงการ ป.โท ประสบการณ์ 16 ปี (1 คน x 45,000 บาท/เดือน x1.76 x  4 เดือน)</t>
  </si>
  <si>
    <t xml:space="preserve"> - ผู้ช่วยผู้จัดการโครงการ ป.โท ประสบการณ์ 11 ปี (1 คน x 40,000 บาท/เดือน x1.76 x  6 เดือน)</t>
  </si>
  <si>
    <t xml:space="preserve"> - ผู้เชี่ยวชาญด้านวิศวกรรม ป.โท ประสบการณ์ 7 ปี (3 คน x 36,000 บาท/เดือน x 1.76 x 6 เดือน)</t>
  </si>
  <si>
    <t xml:space="preserve"> - ผู้เชี่ยวชาญด้านการบำรุงรักษาเครื่องจักร ป.โท ประสบการณ์ 7 ปี (3 คน x 36,000 บาท/เดือน x 1.76 x 6 เดือน)</t>
  </si>
  <si>
    <t xml:space="preserve"> - ผู้ช่วยผู้เชี่ยวชาญ ประสบการณ์ 5 ปี (3 คน x 25,000 บาท/เดือน x 1.76 x 6 เดือน)</t>
  </si>
  <si>
    <t xml:space="preserve"> - เจ้าหน้าที่ประสานงานโครงการ (1 คน x 15,000 บาท/เดือน x  9 เดือน) </t>
  </si>
  <si>
    <t>ค่าใช้จ่ายการพัฒนาหลักสูตร</t>
  </si>
  <si>
    <t xml:space="preserve"> - ค่าเช่าสถานที่และอุปกรณ์โสตฯ (5,000 บาท x 5 ครั้ง)</t>
  </si>
  <si>
    <t xml:space="preserve"> - ค่าอาหารและอาหารว่าง (650 บาท x 5 ครั้ง x 10 คน)</t>
  </si>
  <si>
    <t xml:space="preserve"> - ค่าพาหนะเจ้าหน้าที่ (กทม.) (500 บาท x 5 ครั้ง x 4 คน)</t>
  </si>
  <si>
    <t xml:space="preserve"> - ค่าเอกสารประกอบการสัมมนา (100 บาท x 5 ครั้ง x 10 คน)</t>
  </si>
  <si>
    <t xml:space="preserve"> - ค่าใช้จ่ายจัดเก็บข้อมูล (40,000 x 1 งาน)</t>
  </si>
  <si>
    <t xml:space="preserve"> - ค่าเบี้ยประชุมผู้ทรงคุณวุฒิ (1,200 บาท x 5 ครั้ง x 6 คน)</t>
  </si>
  <si>
    <t>ค่าใช้จ่ายสำนักงาน</t>
  </si>
  <si>
    <t xml:space="preserve"> - ค่าสำนักงานและสาธารณูปโภค (10,000 บาท x 9 เดือน)</t>
  </si>
  <si>
    <t xml:space="preserve"> - ค่าติดต่อสื่อสาร (10,000 บาท x 9 เดือน)</t>
  </si>
  <si>
    <t xml:space="preserve"> - ค่าเครื่องเขียนแบบพิมพ์ (6,737.78 บาท x 9 เดือน)</t>
  </si>
  <si>
    <t>เชิญชวนกลุ่มเป้าหมายที่สนใจให้สมัครเข้าร่วมโครงการ</t>
  </si>
  <si>
    <t>จัดส่งเอกสารแนะนำโครงการให้กลุ่มเป้าหมาย</t>
  </si>
  <si>
    <t xml:space="preserve"> - ค่าจัดทำเอกสารและค่าซองจดหมายแนะนำโครงการ (1,000 ชุด x 10 บาท)</t>
  </si>
  <si>
    <t xml:space="preserve"> - ค่าไปรษณีย์จัดส่งเอกสารแนะนำโครงการ (1,000 ชุด x 35 บาท)</t>
  </si>
  <si>
    <t xml:space="preserve"> - ค่าจ้างเหมาเชิญชวนและรับสมัครเข้าร่วมโครงการ (1,000 ชุด x 20 บาท)</t>
  </si>
  <si>
    <t>จัดทำเว็ปไซท์ เอกสารเผยแพร่ และคู่มือ ต่างๆ และประชาสัมพันธ์</t>
  </si>
  <si>
    <t xml:space="preserve">จัดพิมพ์คู่มือด้านการพัฒนาระบบบริหารจัดการด้านการบำรุงรักษาเครื่องจักร </t>
  </si>
  <si>
    <t xml:space="preserve"> - ค่าจ้างออกแบบคู่มือ (10,000 บาท x 1 งาน)</t>
  </si>
  <si>
    <t xml:space="preserve"> - ค่าจัดพิมพ์คู่มือ (500 ชุด x 250 บาท)</t>
  </si>
  <si>
    <t xml:space="preserve"> - ค่าจัดส่งคู่มือให้กลุ่มเป้าหมาย (500 ชุด x 35 บาท)</t>
  </si>
  <si>
    <t xml:space="preserve">จัดทำเว็ปไซท์และคู่มือและเอกสารวิชาการต่างๆ </t>
  </si>
  <si>
    <t xml:space="preserve"> - ค่าจัดทำเว็ปไซท์ (9 เดือน x 18,000 บาท)</t>
  </si>
  <si>
    <t xml:space="preserve"> - ค่าจ้างออกแบบเอกสารเผยแพร่ (10,000 บาท x 3 งาน)</t>
  </si>
  <si>
    <t xml:space="preserve"> - ค่าจัดพิมพ์เอกสารเผยแพร่ (1,000 ชุด  x 3 งาน x 100 บาท)</t>
  </si>
  <si>
    <t xml:space="preserve"> - ค่าจัดส่งเอกสารเผยแพร่ให้กลุ่มเป้าหมาย (1,000 ชุด x 50 บาท)</t>
  </si>
  <si>
    <t>ดำเนินการฝึกอบรมเชิงปฏิบัติการเพื่อพัฒนาวิทยากรที่ปรึกษา</t>
  </si>
  <si>
    <t>จัดฝึกอบรมเชิงปฏิบัติการเพื่อพัฒนาวิทยากรที่ปรึกษา</t>
  </si>
  <si>
    <t xml:space="preserve"> - ค่าวิทยากร  (6 ชั่วโมง x 1,200 บาท x 5 รุ่น x 12 วัน)</t>
  </si>
  <si>
    <t xml:space="preserve"> - ค่าวิทยากรผู้ช่วย (6 ชั่วโมง x 800 บาท x 5 รุ่น x 12 วัน)</t>
  </si>
  <si>
    <t xml:space="preserve"> - ค่าพาหนะวิทยากร (กทม.) (800 บาท x 2 รุ่น x 12 วัน)</t>
  </si>
  <si>
    <t xml:space="preserve"> - ค่าพาหนะวิทยากรผู้ช่วย (กทม.) (800 บาท x 2 รุ่น x 12 วัน)</t>
  </si>
  <si>
    <t xml:space="preserve"> - ค่าพาหนะเจ้าหน้าที่ (กทม.) (800 บาท x 2 รุ่น x 4 คน x 12 วัน)</t>
  </si>
  <si>
    <t xml:space="preserve"> - ค่าพาหนะวิทยากร (ตจว. ค่าเครื่องบิน ไปกลับ 5,000 บาท x 3 รุ่น x 12 วัน)</t>
  </si>
  <si>
    <t xml:space="preserve"> - ค่าพาหนะวิทยากรผู้ช่วย (ตจว. ค่าเครื่องบิน ไปกลับ 5,000 บาท x 3 รุ่น x 12 วัน)</t>
  </si>
  <si>
    <t xml:space="preserve"> - ค่าพาหนะเจ้าหน้าที่ (ตจว. ค่าเครื่องบิน ไปกลับ 5,000 บาท x 3 รุ่น x 4 คน x 12 วัน)</t>
  </si>
  <si>
    <t xml:space="preserve"> - ค่าที่พักวิทยากร (ตจว.) (1,200 บาท x 3 รุ่น x 12 วัน)</t>
  </si>
  <si>
    <t xml:space="preserve"> - ค่าที่พักวิทยากรผู้ช่วย (ตจว.) (1,200 บาท x 3 รุ่น x 12 วัน)</t>
  </si>
  <si>
    <t xml:space="preserve"> - ค่าที่พักเจ้าหน้าที่ (ตจว.) (1,200 บาท x 3 รุ่น x 4 คน x 12 วัน)</t>
  </si>
  <si>
    <t xml:space="preserve"> - ค่าเช่าสถานที่และอุปกรณ์โสตฯ (5,000 บาท x 5 รุ่น x 12 วัน)</t>
  </si>
  <si>
    <t xml:space="preserve"> - ค่าอาหารและอาหารว่าง (600 บาท x 5 รุ่น x 40 คน x 12 วัน)</t>
  </si>
  <si>
    <t xml:space="preserve"> - ค่าใช้จ่ายในการเปิด-ปิดการสัมมนา (800 บาท x 5 รุ่น)</t>
  </si>
  <si>
    <t xml:space="preserve"> - ค่าเอกสารประกอบการสัมมนา (200 บาท x 5 รุ่น x 40 คน)</t>
  </si>
  <si>
    <t xml:space="preserve"> - ค่าจ้างพิธีกร (5,000 บาท x 5 รุ่น x 12 วัน)</t>
  </si>
  <si>
    <t xml:space="preserve"> - ค่าจัดทำบอร์ดนิทรรศการโครงการ (3,000 บาท x 10 ชุด)</t>
  </si>
  <si>
    <t>จัดทดสอบและขึ้นทะเบียนวิทยากรที่ปรึกษา</t>
  </si>
  <si>
    <t xml:space="preserve"> - ค่าเช่าสถานที่และอุปกรณ์โสตฯ (5,000 บาท x 5 รุ่น x 2 วัน)</t>
  </si>
  <si>
    <t xml:space="preserve"> - ค่าพาหนะวิทยากร (กทม.) (800 บาท x 2 รุ่น x 2 วัน)</t>
  </si>
  <si>
    <t xml:space="preserve"> - ค่าพาหนะเจ้าหน้าที่ (กทม.) (800 บาท x 2 รุ่น x 4 คน x 2 วัน)</t>
  </si>
  <si>
    <t xml:space="preserve"> - ค่าพาหนะวิทยากร (ตจว. ค่าเครื่องบิน ไปกลับ 5,000 บาท x 3 รุ่น)</t>
  </si>
  <si>
    <t xml:space="preserve"> - ค่าพาหนะเจ้าหน้าที่ (ตจว. ค่าเครื่องบิน ไปกลับ 5,000 บาท x 3 รุ่น x 4 คน)</t>
  </si>
  <si>
    <t xml:space="preserve"> - ค่าที่พักวิทยากร (ตจว.) (1,200 บาท x 3 รุ่น x 2 วัน)</t>
  </si>
  <si>
    <t xml:space="preserve"> - ค่าที่พักเจ้าหน้าที่ (ตจว.) (1,200 บาท x 3 รุ่น x 4 คน x 2 วัน)</t>
  </si>
  <si>
    <t xml:space="preserve"> - ค่าเอกสาร (200 บาท x 5 รุ่น x 40 คน)</t>
  </si>
  <si>
    <t xml:space="preserve"> - ค่าจ้างจัดทำฐานข้อมูลที่ปรึกษา  (35,000 บาท x 9 เดือน)</t>
  </si>
  <si>
    <t xml:space="preserve"> - ค่าจัดทำวุฒิบัติ (200 บาท x 200 คน)</t>
  </si>
  <si>
    <t>ค่าจัดพิธีมอบวุฒิบัตรและแผลงผลการดำเนินงาน</t>
  </si>
  <si>
    <t xml:space="preserve"> - ค่าเช่าสถานที่และอุปกรณ์โสตฯ (5,000 บาท x 1 วัน)</t>
  </si>
  <si>
    <t xml:space="preserve"> - ค่าอาหารและอาหารว่าง (600 บาท x 200 คน)</t>
  </si>
  <si>
    <t xml:space="preserve"> - ค่าใช้จ่ายในการเปิด-ปิดการสัมมนา (800 บาท x 1 ครั้ง)</t>
  </si>
  <si>
    <t xml:space="preserve"> - ค่าเอกสารประกอบการสัมมนา (200 บาท x 200 คน)</t>
  </si>
  <si>
    <t xml:space="preserve"> - ค่าจ้างพิธีกร (5,000 บาท x 1 วัน)</t>
  </si>
  <si>
    <t>สิบล้านบาทถ้วน</t>
  </si>
  <si>
    <t>2.1 โครงการช่วยเหลือและติดตามการต่ออายุโรงงานที่ขาดการจัดการกากอุตสาหกรรม</t>
  </si>
  <si>
    <t>โครงการช่วยเหลือและติดตามการต่ออายุโรงงานที่ขาดการจัดการกากอุตสาหกรรม</t>
  </si>
  <si>
    <t xml:space="preserve">  - จัดทำแผ่นพับประชาสัมพันธ์โครงการ ขนาด A5 สี่สี (10 บาท x 8000 แผ่น)</t>
  </si>
  <si>
    <t xml:space="preserve">  - จัดทำ Roll Up ประชาสัมพันธ์โครงการ (3500 บาท x 5 ชุด)</t>
  </si>
  <si>
    <t xml:space="preserve">  - จัดทำแผ่นไวนิลประชาสัมพันธ์โครงการ ขนาด 3 x 5 เมตร   (4000 บาท x 20 แผ่น)</t>
  </si>
  <si>
    <t xml:space="preserve">  - ปรับปรุง/จัดทำเว็บเพจประชาสัมพันธ์โครงการ  1 website</t>
  </si>
  <si>
    <t xml:space="preserve"> - รวบรวมข้อมูลโรงงานฯ จากฐานข้อมูลกรมโรงงานอุตสาหกรรม</t>
  </si>
  <si>
    <t>จัดสัมนาสัญจร 6 ภูมิภาค อย่างน้อยภูมิภาคละ 1 ครั้ง ครั้งละ 300 คน</t>
  </si>
  <si>
    <t xml:space="preserve">     - ค่าอาหาร  (600 บาท x 300 คน x 6 ครั้ง)</t>
  </si>
  <si>
    <t xml:space="preserve">     - ค่าอาหารว่างและเครื่องดื่ม (50 บาท x 300 คน x 2 มื้อ x 6 ครั้ง)</t>
  </si>
  <si>
    <t xml:space="preserve">     - ค่าวิทยากร (600 บาท x 5 ชม )</t>
  </si>
  <si>
    <t xml:space="preserve">     - ค่าห้องประชุม  (4000 บาท x 6 ครั้ง)</t>
  </si>
  <si>
    <t xml:space="preserve">     - ค่าเอกสาร (80 บาท x 300 คน/ชุด x 6 ครั้ง)</t>
  </si>
  <si>
    <t xml:space="preserve">     - ค่าโดยสาร (รถตู้) +  ค่าน้ำมัน    (2250 บาท x 6 ครั้ง x 2 วัน)</t>
  </si>
  <si>
    <t xml:space="preserve">     - ค่าอาหาร  (600 บาท x 100 คน)</t>
  </si>
  <si>
    <t xml:space="preserve">     - ค่าอาหารว่างและเครื่องดื่ม (50 บาท x 100 คน x 2 มื้อ)</t>
  </si>
  <si>
    <t xml:space="preserve">     - ค่าวิทยากร (600 บาท x 6 ชม)</t>
  </si>
  <si>
    <t xml:space="preserve">     - ค่าห้องประชุม </t>
  </si>
  <si>
    <t xml:space="preserve">     - ค่าเอกสาร (80บาท x 100 ชุด)</t>
  </si>
  <si>
    <t xml:space="preserve">     - ค่าโดยสาร (รถตู้) +  ค่าน้ำมัน    (2250 บาท x 1 วัน)</t>
  </si>
  <si>
    <t>ติดต่อประสานงานโรงงาน โดยเจ้าหน้าที่ศูนย์ฯ ติดต่อ (100 บาท x 15000 โรงงาน)</t>
  </si>
  <si>
    <t>เอกสารส่งไปรษณีย์ติดตามไปยังโรงงานเป้าหมาย (50 บาท x 15000 โรงงาน)</t>
  </si>
  <si>
    <t>ค่าเช่ารถ รวมน้ำมัน (2250 บาท x 500 วัน)</t>
  </si>
  <si>
    <t>ค่าเบี้ยเลี้ยงเจ้าหน้าที่สนับสนุน  (240 บาท x 500 คน-วัน)</t>
  </si>
  <si>
    <t>ค่าเครื่องบินวิทยากร ผู้เชี่ยวชาญ (2500 บาท x 500 คน-เที่ยว)</t>
  </si>
  <si>
    <t>ค่าที่พักผู้เชี่ยวชาญ (1200 บาท x 500 ห้อง-วัน)</t>
  </si>
  <si>
    <t>เอกสารประกอบการอบรม  (100 บาท x 15000 ชุด)</t>
  </si>
  <si>
    <t>ติดต่อประสานงานโรงงาน (100 บาท x 900 โรงงาน)</t>
  </si>
  <si>
    <t>ค่าเบี้ยเลี้ยงเจ้าหน้าที่สนับสนุน  (240 บาท x 900 คน-วัน)</t>
  </si>
  <si>
    <t>ค่าเครื่องบินวิทยากร ผู้เชี่ยวชาญ (2500 บาท x 70 คน-เที่ยว)</t>
  </si>
  <si>
    <t>ค่าที่พักวิทยากรอบรม (1200 บาท x 500 ห้อง-วัน)</t>
  </si>
  <si>
    <t>เอกสารประกอบการอบรม (100 บาท x 900 ชุด)</t>
  </si>
  <si>
    <t xml:space="preserve">     - ค่าสถานที่จัดประชุม (4000 บาท x 4 วัน)</t>
  </si>
  <si>
    <t xml:space="preserve">     - ค่าอาหาร อาหารว่างและเครื่องดื่ม (700 บาทx200 คน)</t>
  </si>
  <si>
    <t xml:space="preserve">     - ค่าเดินทาง ค่ารถ (2250 บาท x 12 วัน)</t>
  </si>
  <si>
    <t xml:space="preserve">     - ค่าเครื่องบินวิทยากร ผู้เชี่ยวชาญ  (2500 บาท x 36 คน-เที่ยว)</t>
  </si>
  <si>
    <t xml:space="preserve">     - เบี้ยเลี้ยงเจ้าหน้าที่ (240 บาท x 20 คน-วัน)</t>
  </si>
  <si>
    <t xml:space="preserve">     - ค่าที่พักเจ้าหน้าที่ ผู้เชี่ยวชาญ (1200 บาท x 44 ห้อง-วัน)</t>
  </si>
  <si>
    <t xml:space="preserve">     - เอกสารประกอบการอบรม (100 บาท x200ชุด)</t>
  </si>
  <si>
    <t xml:space="preserve"> - ค่าเช่าสถานที่รวมอุปกรณ์สำนักงาน  (50000 บาท x 30 ศูนย์-เดือน)</t>
  </si>
  <si>
    <t xml:space="preserve"> - ค่าสาธารณูปโภค (น้ำ ไฟ อินเตอร์เนต) (10000 บาท x 30 ศูนย์-เดือน)</t>
  </si>
  <si>
    <t xml:space="preserve"> - ค่าอุปกรณ์สิ้นเปลืองต่างๆ และอื่นๆ (10000 บาท x 30 ศูนย์-เดือน)</t>
  </si>
  <si>
    <t>1.10</t>
  </si>
  <si>
    <t xml:space="preserve"> - รายงานเบื้องต้น (500 บาท x 12 เล่ม)</t>
  </si>
  <si>
    <t xml:space="preserve"> - รายงานความก้าวหน้าครั้งที่ 1 (800 บาท x 12 เล่ม)</t>
  </si>
  <si>
    <t xml:space="preserve"> - รายงานความก้าวหน้าครั้งที่ 2 (800 บาท x 12 เล่ม)</t>
  </si>
  <si>
    <t xml:space="preserve"> - ร่างรายงานฉบับสมบูรณ์ (800 บาท x 12 เล่ม)</t>
  </si>
  <si>
    <t xml:space="preserve"> - รายงานฉบับสมบูรณ์</t>
  </si>
  <si>
    <t xml:space="preserve">    1) รายงานฉบับสมบูรณ์ ภาษาไทย พร้อม CD (1000 บาท x 12 เล่ม)</t>
  </si>
  <si>
    <t xml:space="preserve">    2) รายงานสรุปสำหรับผู้บริหาร (500 บาท x 20 เล่ม)</t>
  </si>
  <si>
    <t>2.2 โครงการพัฒนาและยกระดับผู้ประกอบการจัดการของเสียอันตรายภาคอุตสาหกรรม</t>
  </si>
  <si>
    <t>โครงการย่อยที่ 1 โครงการพัฒนาศักยภาพการใช้ประโยชน์กากของเสีย</t>
  </si>
  <si>
    <t xml:space="preserve"> ค่าชี้แจงรายละเอียดโครงการและรับสมัครโรงงาน</t>
  </si>
  <si>
    <t xml:space="preserve">  - ค่าอาหารกลางวัน (600 บาท x 150 คน x 1 มื้อ)</t>
  </si>
  <si>
    <t xml:space="preserve">  - ค่าอาหารว่างและเครื่องดื่ม (50 บาท x 2 มื้อ x 150 คน)</t>
  </si>
  <si>
    <t xml:space="preserve">  - ค่าเอกสาร (100 บาท x 150 คน)</t>
  </si>
  <si>
    <t xml:space="preserve"> ค่าใช้จ่ายภาคสนาม (เข้าให้คำปรึกษา 3 ครั้ง และตรวจประเมิน 1 ครั้ง)</t>
  </si>
  <si>
    <t xml:space="preserve"> - ค่าที่พัก (ครั้งละ 2 คืน*4 ครั้ง/โรงงาน*50 โรงงาน* 3 คน/โรงงาน ) คืนละ 1,000 บาท x 3 คน</t>
  </si>
  <si>
    <t>- ค่าเบี้ยเลี้ยง (ครั้งละ 2 วัน*4 ครั้ง/โรงงาน*50 โรงงาน * 3 คน/โรงงาน ) วันละ 240 บาท-วัน</t>
  </si>
  <si>
    <t xml:space="preserve"> - ค่าพาหนะ (ครั้งละ 2 วัน*4 ครั้ง/โรงงาน*50 โรงงาน รถตู้ +ค่าเชื้อเพลิง 2250 บาท)</t>
  </si>
  <si>
    <t xml:space="preserve"> - ค่าอาหารกลางวัน (600 บาท x 150 คน x 1 มื้อ)</t>
  </si>
  <si>
    <t xml:space="preserve"> - ค่าอาหารว่างและเครื่องดื่ม (50 บาท x 2 มื้อ x 150 คน)</t>
  </si>
  <si>
    <t xml:space="preserve"> - ค่าเอกสาร (ชุดละ100 บาท x 150 ชุด)</t>
  </si>
  <si>
    <t xml:space="preserve"> - ค่าจัดทำโล่ประกาศระดับรางวัล (50 ชิ้น x 2000 บาท)</t>
  </si>
  <si>
    <t xml:space="preserve"> - ค่าจัดทำเอกสารเผยแพร่ความสำเร็จของโรงงานที่ได้รับรางวัล (350 บาท x 800 เล่ม)</t>
  </si>
  <si>
    <t xml:space="preserve"> - ค่าจัดทำเอกสารเผยแพร่หลักปฏิบัติการจัดการของเสียที่ดี (350 บาท x 800 เล่ม)</t>
  </si>
  <si>
    <t>จัดทำรายงาน</t>
  </si>
  <si>
    <t xml:space="preserve"> - รายงานฉบับเบื้องต้น  (10 เล่ม x 800 บาท)</t>
  </si>
  <si>
    <t xml:space="preserve"> - รายงานความก้าวหน้าครั้งที่ 1 (10 เล่ม x 800 บาท)</t>
  </si>
  <si>
    <t xml:space="preserve"> - รายงานความก้าวหน้าครั้งที่ 2 (10เล่ม x 800บาท)</t>
  </si>
  <si>
    <t xml:space="preserve"> - รายงานฉบับฉบับสมบูรณ์และรายงานสรุปผู้บริหาร (20 เล่ม x 1,200บาท)</t>
  </si>
  <si>
    <t>การดำเนินการเผยแพร่โครงการ เช่น สื่อสิ่งพิมพ์ แผ่นพับสื่ออิเล็กทรอนิกส์ เว็ปไซด์โครงการ วัสดุสิ้นเปลือง แผ่นดิสก์ /CD/ ค่าอัดภาพ</t>
  </si>
  <si>
    <t xml:space="preserve">ค่าศึกษาจัดทำคู่มือรายอุตสาหกรรม </t>
  </si>
  <si>
    <t xml:space="preserve"> - จัดทำคู่มืออุตสาหกรรมรายสาขา อย่างน้อย 2 สาขาๆ ละ 200 เล่ม (เล่มละ 350 บาท)</t>
  </si>
  <si>
    <t>โครงการย่อยที่ 2 โครงการยกระดับผู้ประกอบการจัดการของเสีย</t>
  </si>
  <si>
    <t xml:space="preserve"> ค่าใช้จ่ายในการสรุปผลโครงการและมอบรางวัลแก่โรงงานที่ดำเนินการดีเด่น</t>
  </si>
  <si>
    <t>2.3 โครงการปรับปรุงและพัฒนาระบบสารสนเทศการจัดการของเสียอุตสาหกรรมทางสื่ออิเล็กทรอนิกส์</t>
  </si>
  <si>
    <t xml:space="preserve">  - ค่าอาหารกลางวัน (600 บาท x 50 คน x 1 มื้อ)</t>
  </si>
  <si>
    <t xml:space="preserve">  - ค่าอาหารว่างและเครื่องดื่ม (50 บาท x 2 มื้อ x 50 คน)</t>
  </si>
  <si>
    <t xml:space="preserve">  - ค่าเอกสาร (100 บาท x 50 คน)</t>
  </si>
  <si>
    <t xml:space="preserve">  - ค่าเช่าห้องประชุมและโสตทัศนูปกรณ์</t>
  </si>
  <si>
    <t xml:space="preserve">  - ค่าวิทยากร (2 คนx 3 ชม. X 1200 บาท)</t>
  </si>
  <si>
    <t xml:space="preserve"> ค่าจัดทำคู่มือการใช้งานระบบ (เล่มละ 300 บาท x 150 เล่ม)</t>
  </si>
  <si>
    <t>ค่าบำรุงรักษาระบบ/อุปกรณ์</t>
  </si>
  <si>
    <t xml:space="preserve"> - รายงานฉบับเบื้องต้น  (10 เล่ม x 500 บาท)</t>
  </si>
  <si>
    <t>ค่าจัดหาอุปกรณ์ ปรับปรุงระบบงานเดิม (เหมาจ่าย)</t>
  </si>
  <si>
    <t xml:space="preserve"> - ซอฟท์แวร์ระบบคอมพิวเตอร์เสมือน สำหรับบริหารจัดการคอมพิวเตอร์เสมือน จำนวน 1 ชุด มีคุณลักษณะดังนี้
</t>
  </si>
  <si>
    <t>1.  เป็นลิขสิทธิ์โปรแกรมเครื่อง  คอมพิวเตอร์แม่ข่ายเสมือน (Virtual Machine) พร้อมชุดบริหารจัดการแบบรวมศูนย์ที่รองรับการบริหารจัดการเครื่องคอมพิวเตอร์แม่ข่าย (Physical Serverสามารถติดตั้งระบบปฏิบัติการได้หลากหลายบนเครื่องคอมพิวเตอร์เสมือน เช่น Windows 2012 , Windows 2008 , Windows 2003และ Linux เป็นอย่างน้อย</t>
  </si>
  <si>
    <t>2.  สามารถจัดสรรการทำงานในลักษณะคอมพิวเตอร์เสมือน โดยกำหนด CPU , Memory , Disk , Network ได้เป็นอย่างน้อย</t>
  </si>
  <si>
    <t>3.  สามารถเพิ่มหรือลดจำนวนของ CPU , Memory ได้</t>
  </si>
  <si>
    <t>4.  สามารถจัดการคอมพิวเตอร์เสมือน (Virtual Machine) ได้ผ่านทาง Client Agent หรือทาง Web Browser ได้</t>
  </si>
  <si>
    <t xml:space="preserve"> - ปรับปรุงระบบเชื่อมโยงข้อมูลจากระบบงานต่าง ๆ ที่เกี่ยวกับกากอุตสาหกรรม โดยพิจารณาจากปัญหา ความจำเป็น และข้อเสนอแนะในการจัดทำรายงาน และปรับปรุงระบบรายงานตามข้อมูล</t>
  </si>
  <si>
    <t xml:space="preserve"> - จัดทำกลไกการ Backup และ Restore ระบบงาน ระบบปฏิบัติการ และฐานข้อมูล โดยใช้ซอฟท์แวร์ระบบคอมพิวเตอร์เสมือน สำหรับบริหารจัดการคอมพิวเตอร์เสมือน ในการดำเนินการ</t>
  </si>
  <si>
    <t>- ปรับปรุงระบบการตรวจสอบข้อมูล เพื่อเป็นการช่วยเหลือเจ้าหน้าที่ในการกำกับดูแลการจัดการกากอุตสาหกรรม</t>
  </si>
  <si>
    <t xml:space="preserve"> - จัดทำข้อมูล และเชื่อมโยงข้อมูลการตอบหารือเคมีภัณฑ์ที่เป็นของเสียกับระบบการตอบหารือเคมีภัณฑ์ของสำนักควบคุมวัตถุอันตราย</t>
  </si>
  <si>
    <t>2.4 โครงการเพิ่มประสิทธิภาพโรงงานคัดแยกและรีไซเคิลซากผลิตภัณฑ์เครื่องใช้ไฟฟ้าและอิเล็กทรอนิกส์ในเชิงลึก</t>
  </si>
  <si>
    <t>โครงการเพิ่มประสิทธิภาพโรงงานคัดแยกและรีไซเคิลซากผลิตภัณฑ์เครื่องใช้ไฟฟ้าและอิเล็กทรอนิกส์ในเชิงลึก</t>
  </si>
  <si>
    <t xml:space="preserve">  - ค่าอาหารกลางวัน (600 บาท x 100 คน x 1 มื้อ)</t>
  </si>
  <si>
    <t xml:space="preserve">  - ค่าอาหารว่างและเครื่องดื่ม (50 บาท x 2 มื้อ x 100 คน)</t>
  </si>
  <si>
    <t xml:space="preserve">  - ค่าเอกสาร (100 บาท x 100 คน)</t>
  </si>
  <si>
    <t xml:space="preserve"> - ค่าที่พัก (ครั้งละ 1 คืน x 4 ครั้ง/โรงงาน x 20 โรงงาน x 5 คน/โรงงาน ) คืนละ 1,000 บาท x 5 คน</t>
  </si>
  <si>
    <t xml:space="preserve"> - ค่าเบี้ยเลี้ยง (ครั้งละ 2 วัน x 4 ครั้ง/โรงงาน x 20 โรงงาน x 5 คน/โรงงาน) วันละ 300 บาท</t>
  </si>
  <si>
    <t xml:space="preserve"> - ค่าพาหนะ (ครั้งละ 2 วัน*4 ครั้ง/โรงงาน*20 โรงงาน รถตู้ 2000 บาท +ค่าเชื้อเพลิง 1500 บาท)</t>
  </si>
  <si>
    <t xml:space="preserve"> - ค่าอาหารกลางวัน (600 บาท x 125 คน x 1 มื้อ)</t>
  </si>
  <si>
    <t xml:space="preserve"> - ค่าอาหารว่างและเครื่องดื่ม (50 บาท x 2 มื้อ x 125 คน)</t>
  </si>
  <si>
    <t xml:space="preserve"> - ค่าเอกสาร (ชุดละ100 บาท x 125 ชุด)</t>
  </si>
  <si>
    <t xml:space="preserve"> - ค่าจัดทำรายงานรายโรงงาน โรงงานละ 2 เล่ม (40 เล่ม x 2000 บาท)</t>
  </si>
  <si>
    <t xml:space="preserve"> - ค่าจัดทำเอกสารเผยแพร่ความสำเร็จของโรงงานที่ได้รับรางวัล (350 บาท x 1000 เล่ม)</t>
  </si>
  <si>
    <t xml:space="preserve"> - ค่าจัดทำเอกสารเผยแพร่หลักปฏิบัติการจัดการของเสียที่ดี (350 บาท x 1000 เล่ม)</t>
  </si>
  <si>
    <t xml:space="preserve"> - รายงานฉบับฉบับสมบูรณ์และรายงานสรุปผู้บริหาร (20 เล่ม x 1,300บาท)</t>
  </si>
  <si>
    <t>ค่าศึกษาจัดทำคู่มือ</t>
  </si>
  <si>
    <t xml:space="preserve"> - จัดทำคู่มือการดำเนินการคัดแยกและรีไซเคิลซากผลิตภัณฑ์เครื่องใช้ไฟฟ้าและอิเล็กทรอนิกส์ (400 เล่ม x 500 บาท)</t>
  </si>
  <si>
    <t xml:space="preserve"> - จัดทำคู่มือคู่มือการดำเนินการตามกฎหมายและข้อกำหนดที่เกี่ยวข้องเพื่อการนำเข้า-ส่งออกของเสียเคมีวัตถุ (400 เล่ม x 500 บาท)</t>
  </si>
  <si>
    <t>ค่าตรวจวิเคราะห์ต้นทุนการผลิตหรือสูญเสียที่เกิดขึ้นเกี่ยวกับการใช้วัตถุดิบ น้ำ ไฟฟ้า เชื้อเพลิงต่อหน่วยผลิตภัณฑ์ (20 โรงงาน x 42000 บาท)</t>
  </si>
  <si>
    <t>3. โครงการจัดทำมาตรการควบคุมการระบายสารอินทรีย์ระเหยจากโรงงานที่มีการใช้สารอินทรีย์ระเหยในปริมาณมาก</t>
  </si>
  <si>
    <t>โครงการจัดทำมาตรการควบคุมการระบายสารอินทรีย์ระเหยจากโรงงานที่มีการใช้สารอินทรีย์ระเหยในปริมาณมาก</t>
  </si>
  <si>
    <t xml:space="preserve"> - ผู้ประสานงานโครงการ/ผู้สนับสนุนโครงการ (1 คน x 15,000 บาท/เดือน x 9 เดือน)</t>
  </si>
  <si>
    <t>จัดประชุมชี้แจงวัตถุประสงค์และวิธีการดำเนินงานให้กับผู้ประกอบการอุตสาหกรรมยานยนต์</t>
  </si>
  <si>
    <t>- ค่าอาหารและอาหารว่าง (600 บาท x 108 คน x 1 วัน)</t>
  </si>
  <si>
    <t>- ค่าเช่าสถานที่และอุปกรณ์โสต (5,000 บาท x 1 ครั้ง x 2 วัน)</t>
  </si>
  <si>
    <t>- ค่าเอกสารประกอบการประชุม (100 บาท x 100 คน x 1 วัน)</t>
  </si>
  <si>
    <t>- ค่าพาหนะในการเดินทาง (2,250 บาท x 1 ครั้ง x 2 วัน)</t>
  </si>
  <si>
    <t>- ค่าจัดส่งเอกสารเชิญเข้าร่วม (15 บาท x 100 คน x 1 วัน)</t>
  </si>
  <si>
    <t>- ค่าตอบแทนวิทยากร (1,200 บาท x 6 คน x 2 วัน)</t>
  </si>
  <si>
    <t xml:space="preserve">- ค่าใช้จ่ายเบ็ดเตล็ดอื่นๆ เช่น ค่าติดต่อประสานงาน  </t>
  </si>
  <si>
    <t xml:space="preserve"> สำรวจปริมาณการใช้ วิธีการควบคุม การจัดการ และการกำจัดสารอินทรีย์ระเหย</t>
  </si>
  <si>
    <t>- ค่าจัดทำแบบสอบถาม (10 บาท x 1,000 ชุด x 1 ครั้ง)</t>
  </si>
  <si>
    <t>- ค่าส่งแบบสอบถาม (35 บาท x 1,000 ชุด x 1 ครั้ง)</t>
  </si>
  <si>
    <t>- ค่าสื่อสาร (10,000 บาท x 3 ครั้ง)</t>
  </si>
  <si>
    <t xml:space="preserve"> สำรวจศักยภาพของผู้ประกอบการ</t>
  </si>
  <si>
    <t>- ค่าพาหนะในการเดินทางลงพื้นที่ (2,250 บาท x 30 ครั้ง x 2 วัน)</t>
  </si>
  <si>
    <t>- ค่าที่พักเจ้าหน้าที่  (1,100 บาท x 4 คน x 30 วัน)</t>
  </si>
  <si>
    <t>- ค่าเบี้ยเลี้ยงเจ้าหน้าที่  (500 บาท x 4 คน x 60 วัน)</t>
  </si>
  <si>
    <t>- ค่าเอกสารประกอบการชี้แจงโครงการ  (100 บาท  x 30 วัน)</t>
  </si>
  <si>
    <t>- ค่าตรวจวิเคราะห์  (10,000 บาท x 4 ครั้ง x 30 วัน)</t>
  </si>
  <si>
    <t xml:space="preserve"> จัดประชุมแลกเปลี่ยนความคิดเห็น</t>
  </si>
  <si>
    <t>- ค่าอาหารและอาหารว่าง (600 บาท x 54 คน x 4 วัน)</t>
  </si>
  <si>
    <t>- ค่าเช่าสถานที่และอุปกรณ์โสต (5,000 บาท x 1 ครั้ง x 4 วัน)</t>
  </si>
  <si>
    <t>- ค่าเอกสารประกอบการประชุม (100 บาท x 50 คน x 4 วัน)</t>
  </si>
  <si>
    <t>- ค่าพาหนะในการเดินทาง (2,250 บาท x 2 ครั้ง x 4 วัน)</t>
  </si>
  <si>
    <t>- ค่าที่พักเจ้าหน้าที่  (1,100 บาท x 4 คน x 4 วัน)</t>
  </si>
  <si>
    <t>- ค่าจัดส่งเอกสารเชิญเข้าร่วม (15 บาท x 500 คน x 4 วัน)</t>
  </si>
  <si>
    <t>จัดประชุมเผนแพร่ร่างกฎหมาย</t>
  </si>
  <si>
    <t>- ค่าอาหารและอาหารว่าง (600 บาท x 110 คน x 2 วัน)</t>
  </si>
  <si>
    <t>- ค่าเอกสารประกอบการประชุม (100 บาท x 100 คน x 2 วัน)</t>
  </si>
  <si>
    <t>- ค่าพาหนะในการเดินทาง (2,250 บาท x 2 ครั้ง x 2 วัน)</t>
  </si>
  <si>
    <t>- ค่าที่พักเจ้าหน้าที่  (1,100 บาท x 10 คน x 2 วัน)</t>
  </si>
  <si>
    <t>- ค่าเบี้ยเลี้ยงเจ้าหน้าที่  (500 บาท x 10 คน x 2 วัน)</t>
  </si>
  <si>
    <t>การจัดทำรายงานและเอกสารเผยแพร่</t>
  </si>
  <si>
    <t>- ค่าจัดทำรายงานการศึกษา (500 บาท x 4 ชุด x 8 เล่ม)</t>
  </si>
  <si>
    <t>- ค่าจัดทำรายงานฉบับบสมบูรณ์ (500 บาท x 20 ชุด x 1 เล่ม)</t>
  </si>
  <si>
    <t>- คู่มือควบคุมการระบายสารอินทรีย์ระเหย (250 บาท x 2 ชุด x 200 เล่ม)</t>
  </si>
  <si>
    <t>รวมค่าใช้จ่ายในการดำเนินโครงการ</t>
  </si>
  <si>
    <t>ห้าล้านบาทถ้วน</t>
  </si>
  <si>
    <t>5. โครงการเพิ่มประสิทธิภาพหม้อน้ำในภาคอุตสาหกรรม</t>
  </si>
  <si>
    <t>โครงการเพิ่มประสิทธิภาพหม้อน้ำในภาคอุตสาหกรรม</t>
  </si>
  <si>
    <t xml:space="preserve"> - ค่าประชุมผู้ทรงคุณวุฒิ (1,200 บาท x 4 ครั้ง x 10 คน)</t>
  </si>
  <si>
    <t xml:space="preserve"> - ค่าอาหารและอาหารว่าง (600 บาท x 4 ครั้ง x 10 คน)</t>
  </si>
  <si>
    <t xml:space="preserve"> - ค่าสถานที่และอุปกรณ์</t>
  </si>
  <si>
    <t xml:space="preserve"> - ค่าเอกสารประกอบ (100 บาท x 4 ครั้ง x 10 คน)</t>
  </si>
  <si>
    <t xml:space="preserve"> - ค่าพาหนะวิทยากร (ตจว. ค่าเครื่องบิน ไปกลับ 5,000 บาท x 4 รุ่น)</t>
  </si>
  <si>
    <t xml:space="preserve"> - ค่าพาหนะเจ้าหน้าที่ (ตจว. ค่าเครื่องบิน ไปกลับ 5,000 บาท x 4 รุ่น x 4 คน)</t>
  </si>
  <si>
    <t xml:space="preserve"> - ค่าที่พักวิทยากร (ตจว.) (1,200 บาท x 4 รุ่น x 3 วัน)</t>
  </si>
  <si>
    <t xml:space="preserve"> - ค่าที่พักเจ้าหน้าที่ (ตจว.) (1,200 บาท x 4 รุ่น x 4 คน x 3 วัน)</t>
  </si>
  <si>
    <t xml:space="preserve"> - ค่าเช่าสถานที่และอุปกรณ์โสตฯ (10,000 บาท x 4 รุ่น x 3 วัน)</t>
  </si>
  <si>
    <t xml:space="preserve"> - ค่าเอกสารประกอบ (100 บาท x 4 ครั้ง x 100 คน)</t>
  </si>
  <si>
    <t xml:space="preserve"> - ค่าอาหารและอาหารว่าง (600 บาท x 4 ครั้ง x 100 คน)</t>
  </si>
  <si>
    <t xml:space="preserve"> - ค่าพาหนะและน้ำมันผู้เชี่ยวชาญ (2,250 บาทต่อวัน x 4 คน x 2 วันต่อโรงงาน x 25 โรงงานต่อคน)</t>
  </si>
  <si>
    <t xml:space="preserve"> - ค่าที่พักผู้เชี่ยวชาญ (ตจว.) (1,200 บาทต่อวัน x 4 คน x 1 วันต่อโรงงาน x 25 โรงงาน)</t>
  </si>
  <si>
    <t xml:space="preserve"> - ค่าที่พักผู้ช่วยผู้เชี่ยวชาญ (ตจว.) (1,200 บาทต่อวัน x 8 คน x 1 วันต่อโรงงาน x 25 โรงงาน)</t>
  </si>
  <si>
    <t xml:space="preserve"> - ค่าจ้างออกแบบคู่มือ (30,000 บาท x 1 งาน)</t>
  </si>
  <si>
    <t xml:space="preserve"> - ค่าจัดพิมพ์คู่มือ (1,000 ชุด x 300 บาท)</t>
  </si>
  <si>
    <t>การสำรวจเชิงวิศวกรรม รวม 100 โรงงาน</t>
  </si>
  <si>
    <t>กลุ่ม A (20 โรงงาน)</t>
  </si>
  <si>
    <t xml:space="preserve"> - ค่าการสำรวจ ตรวจวัด วิเคราะห์ผลและประเมินประสิทธิภาพหม้อน้ำและระบบไอน้ำ (135,000 บาทต่อ x 20 โรงงาน)</t>
  </si>
  <si>
    <t xml:space="preserve"> - ค่าเข้าให้คำแนะนำของผู้เชี่ยวชาญ 3 คน-วัน (20,000 บาทต่อโรงงาน x 20 โรงงาน x 3 ครั้ง)</t>
  </si>
  <si>
    <t>กลุ่ม B (30 โรงงาน)</t>
  </si>
  <si>
    <t xml:space="preserve"> - ค่าเข้าให้คำแนะนำของผู้เชี่ยวชาญ 3 คน-วัน (20,000 บาทต่อโรงงาน x 20 โรงงาน x 1 ครั้ง)</t>
  </si>
  <si>
    <t>กลุ่ม B (50 โรงงาน)</t>
  </si>
  <si>
    <t xml:space="preserve"> - ค่าพาหนะวิทยากร (ตจว. ค่าเครื่องบิน ไปกลับ 5,000 บาท x 1 ครั้ง)</t>
  </si>
  <si>
    <t xml:space="preserve"> - ค่าพาหนะเจ้าหน้าที่ (ตจว. ค่าเครื่องบิน ไปกลับ 5,000 บาท x 1 ครั้ง x 4 คน)</t>
  </si>
  <si>
    <t xml:space="preserve"> - ค่าที่พักวิทยากร (ตจว.) (1,200 บาท x 1 ครั้ง x 2 วัน x 4 คน)</t>
  </si>
  <si>
    <t xml:space="preserve"> - ค่าที่พักเจ้าหน้าที่ (ตจว.) (1,200 บาท x 1 ครั้ง x 4 คน x 2 วัน)</t>
  </si>
  <si>
    <t xml:space="preserve"> - ค่าเช่าสถานที่และอุปกรณ์โสตฯ (10,000 บาท x 1 ครั้ง x 2 วัน)</t>
  </si>
  <si>
    <t xml:space="preserve"> - ค่าเอกสารประกอบ (100 บาท x 4 ครั้ง x 50 คน)</t>
  </si>
  <si>
    <t xml:space="preserve"> - ค่าอาหารและอาหารว่าง (600 บาท x 1 ครั้ง x 50 คน)</t>
  </si>
  <si>
    <t>การจัดสัมมนาเผยแพร่การดำเนินโครงการ 200 คน</t>
  </si>
  <si>
    <t xml:space="preserve"> - ค่าอาหารและอาหารว่าง (600 บาท x 1 ครั้ง x 200 คน)</t>
  </si>
  <si>
    <t xml:space="preserve"> - ค่าเอกสารประกอบ (100 บาท x 1 ครั้ง x 200 คน)</t>
  </si>
  <si>
    <t xml:space="preserve"> - ค่าวิทยากร 2 คน (1200 บาทต่อชั่วโมง x 2 คน x 3 ชั่วโมง)</t>
  </si>
  <si>
    <t>แปดล้านแปดแสนสองหมื่นสามพันบาทถ้วน</t>
  </si>
  <si>
    <t xml:space="preserve">                               7.1.1 โครงการส่งเสริม พัฒนา สถานประกอบการเข้าสู่อุตสาหกรรมสีเขียว</t>
  </si>
  <si>
    <t xml:space="preserve">  (กรมโรงงานอุตสาหกรรม งบประมาณ 58.0 ล้านบาท)</t>
  </si>
  <si>
    <t>โครงการส่งเสริม พัฒนา สถานประกอบการเข้าสู่อุตสาหกรรมสีเขียว</t>
  </si>
  <si>
    <t>1.1) ค่าตอบแทนผู้จัดการโครงการ (ป.โท ประสบการณ์ 15 ปี) (7 คน x 44,000 บาท/เดือน x9 เดือน)</t>
  </si>
  <si>
    <t>1.2) ค่าตอบแทนผู้ประสานงานโครงการ (ป.โท ประสบการณ์ 10 ปี) (7 คน x 44,000 บาท/เดือนx 9 เดือน)</t>
  </si>
  <si>
    <t>1.3) ค่าตอบแทนผู้เชี่ยวชาญระบบการจัดการสิ่งแวดล้อม (ป.โท ประสบการณ์ 10 ปี) (7 คนx 58,000 บาท/เดือนx 6 เดือน)</t>
  </si>
  <si>
    <t>1.4) ค่าตอบแทนผู้เชี่ยวชาญการจัดการมลพิษ (ป.โท ประสบการณ์ 10 ปี) (5 คน x 58,000 บาท/เดือนx 5 เดือน )</t>
  </si>
  <si>
    <t>1.5) ค่าตอบแทนผู้เชี่ยวชาญเทคโนโลยีการผลิตที่สะอาด (ป.โท ประสบการณ์ 10 ปี) (7 คน x 58,000 บาท/เดือนx 4 เดือน)</t>
  </si>
  <si>
    <t>1.6) ค่าตอบแทนผู้เชี่ยวชาญเทคโนโลยีน้ำ (ป.โท ประสบการณ์ 10 ปี) (2 คน x 58,000 บาท/เดือนx 9 เดือน)</t>
  </si>
  <si>
    <t>1.7) ค่าตอบแทนผู้เชี่ยวชาญพลังงาน(ป.โท ประสบการณ์ 10 ปี) (1 คน x 58,000 บาท/เดือนx 5 เดือน)</t>
  </si>
  <si>
    <t>1.8) ค่าตอบแทนผู้เชี่ยวชาญด้านอุตสาหกรรมสีเขียว      (ป.โท ประสบการณ์ 10 ปี) (7 คน x 50,000 บาท/เดือนx 8 เดือน)</t>
  </si>
  <si>
    <t xml:space="preserve"> 1.9) ค่าตอบแทนผู้ดำเนินงานด้านมีส่วนร่วมของประชาชน (ป.โท ประสบการณ์ 5 ปี) (2 คน x 43,000 บาท/เดือนx 8 เดือน)</t>
  </si>
  <si>
    <t>1.10) ค่าตอบแทนผู้เชี่ยวชาญด้านมาตรฐานการพัฒนา (ป.โท ประสบการณ์ 10 ปี) (2 คน x 50,000 บาท/เดือนx 7 เดือน)</t>
  </si>
  <si>
    <t>1.11) ค่าตอบแทนวิศวกร (ป.ตรี ประสบการณ์ 5 ปี) (14 คน x 35,000 บาท/เดือนx 5 เดือน)</t>
  </si>
  <si>
    <t>1.12) ค่าตอบแทนนักวิทยาศาสตร์ (ป.ตรี ประสบการณ์ 5 ปี) (14 คนx 30,000 บาท/เดือนx 5 เดือน)</t>
  </si>
  <si>
    <t>1.13) ค่าตอบแทนผู้ตรวจประเมิน (ป.ตรี ประสบการณ์ 5 ปี) (10 คน x 30,000 บาท/เดือนx 5 เดือน)</t>
  </si>
  <si>
    <t>1.14) ค่าตอบแทนนักพัฒนาโปรแกรม (ป.ตรี ประสบการณ์ 5 ปี) (3 คนx 50,000 บาท/เดือนx 9 เดือน)</t>
  </si>
  <si>
    <t xml:space="preserve"> - ค่าตอบแทนเจ้าหน้าที่ธุรการ/ประมวลผลข้อมูล ป.ตรี ประสบการณ์ 3 ปี (10 คนx 12,000 บาท/เดือนx 9 เดือน)</t>
  </si>
  <si>
    <t>ค่าตอบแทนการดำเนินงาน</t>
  </si>
  <si>
    <t>1) ค่าจัดทำเอกสาร (200 ชุด x 200 บาท)</t>
  </si>
  <si>
    <t>2) ค่าเบี้ยเลี้ยง (3 คน x150 วันx 240 บาท )</t>
  </si>
  <si>
    <t>3) ค่าที่พัก(ตจว.) (3 คนx 150วันx 1,200 บาท ) โดยผู้เชี่ยวชาญและทีมงาน</t>
  </si>
  <si>
    <t>4) ค่าพาหนะใช้สำรวจข้อมูล(รถตู้ + ค่าน้ำมัน 1 คัน* 150 วัน*2250 บาท)</t>
  </si>
  <si>
    <t xml:space="preserve">5) ค่าจัดทำฐานข้อมูลน้ำใช้อุตสาหกรรม 38 ประเภท </t>
  </si>
  <si>
    <t xml:space="preserve">6) รายงานเสนอคณะกรรมการประสานรับมอบงาน ( 1 ฉบับ*10 เล่ม *10ครั้ง *100บาท) </t>
  </si>
  <si>
    <t>7) รายงานฉบับเบื้องต้น (1 ฉบับ 10 เล่ม * 300 บาท)</t>
  </si>
  <si>
    <t>8) รายงานความก้าวหน้า ( 2 ฉบับ *10 เล่ม*500 บาท)</t>
  </si>
  <si>
    <t>9) ร่างรายงานฉบับสมบูรณ์ (1 ฉบับ *10 เล่ม*1,000 บาท)</t>
  </si>
  <si>
    <t>10) รายงานฉบับสมบูรณ์ และรายงานสรุปผู้บริหาร(อย่างละ 2 ฉบับ * 10 เล่ม *1,500 บาท)</t>
  </si>
  <si>
    <t>11) ค่าใช้จ่ายสำนักงาน</t>
  </si>
  <si>
    <t xml:space="preserve"> - ค่าสำนักงานและสาธารณูปโภค </t>
  </si>
  <si>
    <t xml:space="preserve"> - ค่าติดต่อสื่อสาร/ค่าเครื่องเขียนแบบพิมพ์</t>
  </si>
  <si>
    <t xml:space="preserve"> - ค่าใช้จ่ายเบ็ดเตล็ดอื่นๆ เช่น ค่าติดต่อประสานงาน </t>
  </si>
  <si>
    <t>(3.2.1) ถ่ายทอดความรู้เทคโนโลยีน้ำอุตสาหกรรม</t>
  </si>
  <si>
    <t>1) ค่าจัดทำเอกสาร (100 ชุด x 200 บาท)</t>
  </si>
  <si>
    <t>2) ค่าสถานที่และโสตทัศนูปกรณ์</t>
  </si>
  <si>
    <t xml:space="preserve">3) ค่าอาหารและเครื่องดื่ม (100 คน x 600 บาท) </t>
  </si>
  <si>
    <t>4) ค่าวิทยากร ( 1 คนx7 ชั่วโมงx 1 วัน x 1,200 บาท  )</t>
  </si>
  <si>
    <t>5) ค่าเบี้ยเลี้ยง (4 คน x 1 วัน x 240 บาท)</t>
  </si>
  <si>
    <t>6) ค่าที่พักวิทยากร และทีมงาน (ตจว.) (5 คนx1วันx1,200 บาท)</t>
  </si>
  <si>
    <t>7) ค่าพาหนะ(รถตู้ + ค่าน้ำมัน) (1 คัน x1 วัน x 2,250 บาท)</t>
  </si>
  <si>
    <t>(3.2.2) ให้คำปรึกษาแนะนำที่โรงงาน 30 โรงงานๆ ละ 5 วัน โดยผู้เชี่ยวชาญและทีมงาน</t>
  </si>
  <si>
    <t>1) วิเคราะห์คุณภาพน้ำทุกขั้นตอนการผลิต,ระบบบำบัดน้ำเสีย,วัดอัตราการไหลของน้ำ(30 โรงx 30 ตัวอย่างx 3400 บาท)</t>
  </si>
  <si>
    <t>2) ค่าเบี้ยเลี้ยง (3 คนx30 โรง x 5 วัน x 240 บาท)</t>
  </si>
  <si>
    <t>3) ค่าที่พักผู้เชี่ยวชาญ และทีมงาน (ตจว.) (4 คนx30 โรงx 5วันx1,200 บาท)</t>
  </si>
  <si>
    <t>4) ค่าพาหนะ(รถตู้ + ค่าน้ำมัน) (1 คันx30 โรงx 5วันx2,250 บาท)</t>
  </si>
  <si>
    <t xml:space="preserve">(3.2.3) เผยแพร่ผลสำเร็จการดำเนินงาน </t>
  </si>
  <si>
    <t>(3.2.4) ค่าใช้จ่ายในการจัดทำรายงาน</t>
  </si>
  <si>
    <t xml:space="preserve">1) รายงานเสนอคณะกรรมการประสานรับมอบงาน ( 1 ฉบับ*10 เล่ม *10ครั้ง *100บาท) </t>
  </si>
  <si>
    <t>2) รายงานฉบับเบื้องต้น (1 ฉบับx 10 เล่ม x 500 บาท)</t>
  </si>
  <si>
    <t>3) รายงานความก้าวหน้า ( 2 ฉบับ x10 เล่มx600 บาท)</t>
  </si>
  <si>
    <t>4) ร่างรายงานฉบับสมบูรณ์ (1 ฉบับ x10 เล่มx1,000 บาท)</t>
  </si>
  <si>
    <t>5) รายงานฉบับสมบูรณ์ และรายงานสรุปผู้บริหาร(อย่างละ 2 ฉบับ x 10 เล่ม x1,500 บาท)</t>
  </si>
  <si>
    <t>(3.2.5) ค่าใช้จ่ายสำนักงาน</t>
  </si>
  <si>
    <t xml:space="preserve"> 1) ค่าสำนักงานและสาธารณูปโภค </t>
  </si>
  <si>
    <t xml:space="preserve"> 2) ค่าติดต่อสื่อสาร/ค่าเครื่องเขียนแบบพิมพ์</t>
  </si>
  <si>
    <t xml:space="preserve"> 3) ค่าใช้จ่ายเบ็ดเตล็ดอื่นๆ เช่น ค่าติดต่อประสานงาน </t>
  </si>
  <si>
    <t>การถ่ายทอดเทคโนโลยีการผลิตที่สะอาดสำหรับอุตสาหกรรมระดับรายสาขา จำนวน 30 โรงงาน</t>
  </si>
  <si>
    <t>(3.3.1) กิจกรรมเผยแพร่โครงการ เพื่อเชิญชวนโรงงานเข้าร่วมโครงการ</t>
  </si>
  <si>
    <t xml:space="preserve">1.1) ค่าเอกสารเชิญชวนโรงงานเข้าร่วมโครงการผ่านสื่อสิ่งพิมพ์ </t>
  </si>
  <si>
    <t>1.2) ค่าจัดทำเอกสารเชิญชวนโรงงานเข้าร่วมโครงการ(900 ชุด x50 บาท)</t>
  </si>
  <si>
    <t>1.3) ค่าจัดส่งเอกสารเชิญชวนโรงงานเข้าร่วมโครงการ(900 ชุด x10 บาท)</t>
  </si>
  <si>
    <t>(3.3.2) ค่าใช้จ่ายในการสำรวจโรงงาน 30 โรงงานๆ ละ 1 วัน โดยผู้เชี่ยวชาญและทีมงาน</t>
  </si>
  <si>
    <t>1) ค่าเบี้ยเลี้ยง (3 คนx30 โรง x 1 วัน x 240 บาท)</t>
  </si>
  <si>
    <t>2) ค่าที่พักผู้เชี่ยวชาญ และทีมงาน (ตจว.) (3 คนx30 โรงx1วันx1,200 บาท)</t>
  </si>
  <si>
    <t>3) ค่าพาหนะ(รถตู้ + ค่าน้ำมัน) (1 คันx30 โรงx 1วันx2,250 บาท)</t>
  </si>
  <si>
    <t>(3.3.3) ค่าใช้จ่ายในการตรวจประเมินโรงงานและคัดเลือก CT Option</t>
  </si>
  <si>
    <t>1) ค่าตรวจวัดด้านพลังงานก่อน-หลังปรับปรุง (30 โรงงาน x40000 บาท)</t>
  </si>
  <si>
    <t>2) ค่าตรวจวัดด้านคุณภาพน้ำ( 30 โรงงานx2 ตัวอย่างx 1,200 บาท  )</t>
  </si>
  <si>
    <t>3) ค่าตรวจวัดด้านคุณภาพอากาศ( 30 โรงงานx2 ตัวอย่างx 1,200 บาท  )</t>
  </si>
  <si>
    <t>4) ค่าเอกสาร Inhouse Training ( 30 โรงงานx10 ชุด x 50 บาท  )</t>
  </si>
  <si>
    <t>5) ค่าเบี้ยเลี้ยง (3 คน x 30 วัน x 240 บาท)</t>
  </si>
  <si>
    <t>6) ค่าที่พักผู้เชี่ยวชาญและทีมงาน (ตจว.) (3 คนx30วันx1,200 บาท)</t>
  </si>
  <si>
    <t>7) ค่าพาหนะ(รถตู้ + ค่าน้ำมัน) (1 คัน x30 วัน x 2,250 บาท)</t>
  </si>
  <si>
    <t>(3.3.4) ค่าใช้จ่ายในการปรับปรุงและประเมินผลการนำ CT Option ไปใช้โรงงาน</t>
  </si>
  <si>
    <t>1) ค่าตรวจวัดด้านคุณภาพน้ำ( 30 โรงงานx2 ตัวอย่างx 1,200 บาท  )</t>
  </si>
  <si>
    <t>2) ค่าตรวจวัดด้านคุณภาพอากาศ( 30 โรงงานx2 ตัวอย่างx 1,200 บาท  )</t>
  </si>
  <si>
    <t>3) ค่าเบี้ยเลี้ยง (3 คน x 30 วัน x 240 บาท)</t>
  </si>
  <si>
    <t>4) ค่าที่พักผู้เชี่ยวชาญและทีมงาน (ตจว.) (3 คนx30วันx1,200 บาท)</t>
  </si>
  <si>
    <t>5) ค่าพาหนะ(รถตู้ + ค่าน้ำมัน) (1 คัน x30 วัน x 2,250 บาท)</t>
  </si>
  <si>
    <t xml:space="preserve">(3.3.5) เผยแพร่ผลสำเร็จการดำเนินงาน </t>
  </si>
  <si>
    <t>(3.3.6) ค่าจัดอบรมพัฒนาความรู้เทคโนโลยีการผลิตที่สะอาด</t>
  </si>
  <si>
    <t>1) ค่าจัดทำคู่มือการป้องกันมลพิษระดับรายสาขา(1 ฉบับ x500 เล่มx 500 บาท)</t>
  </si>
  <si>
    <t>1) ค่าจัดทำเอกสาร (400 ชุด x 200 บาท)</t>
  </si>
  <si>
    <t xml:space="preserve">3) ค่าอาหารและเครื่องดื่ม (400 คน x 600 บาท) </t>
  </si>
  <si>
    <t>(3.3.7) ค่าใช้จ่ายในการจัดทำรายงาน</t>
  </si>
  <si>
    <t>2) รายงานฉบับเบื้องต้น (1 ฉบับ 10 เล่ม x 500 บาท)</t>
  </si>
  <si>
    <t>(3.3.8) ค่าใช้จ่ายสำนักงาน</t>
  </si>
  <si>
    <t>การเพิ่มศักยภาพการผลิตของโรงงานอุตสาหกรรมด้วยระบบการจัดการสิ่งแวดล้อม 2 พื้นที่เป้าหมาย จำนวน 60 โรงงาน</t>
  </si>
  <si>
    <t>(3.4.1) จัดประชุมรณรงค์ภาคอุตสาหกรรมรักษาสิ่งแวดล้อม และเชิญชวนเข้าร่วมโครงการ 2 พื้นที่ๆ ละ 1 วัน</t>
  </si>
  <si>
    <t>1) ค่าจัดทำเอกสาร (100 ชุดx2ครั้ง x 200 บาท)</t>
  </si>
  <si>
    <t xml:space="preserve">3) ค่าอาหารและเครื่องดื่ม (100 คนx2ครั้ง x 600 บาท) </t>
  </si>
  <si>
    <t>4) ค่าวิทยากร ( 1 คนx7 ชั่วโมงx2 วัน x 1,200 บาท  )</t>
  </si>
  <si>
    <t>5) ค่าเบี้ยเลี้ยงทีมงาน (4 คน x2 วัน x 240 บาท)</t>
  </si>
  <si>
    <t>6) ค่าที่พักวิทยากร และทีมงาน (ตจว.) (5 คนx2วันx1,200 บาท)</t>
  </si>
  <si>
    <t>7) ค่าพาหนะ(รถตู้ + ค่าน้ำมัน) (1 คัน x2 วัน x 2,250 บาท)</t>
  </si>
  <si>
    <t xml:space="preserve">(3.4.2)จัดอบรมเชิงปฏิบัติการให้พนักงานโรงงานละ 2 คน เพื่อเป็นพี่เลี้ยงไปถ่ายทอดในโรงงาน 60 โรงงานๆ ละ 3 วัน(2 พื้นที่) </t>
  </si>
  <si>
    <t>1) ค่าจัดทำเอกสาร (60 ชุดx2ครั้งx3วัน x 200 บาท)</t>
  </si>
  <si>
    <t xml:space="preserve">3) ค่าอาหารและเครื่องดื่ม (60 คนx2ครั้งx3วัน x 600 บาท) </t>
  </si>
  <si>
    <t>4) ค่าวิทยากร ( 1 คนx7 ชั่วโมx2 ครั้งx3วัน x 1,200 บาท  )</t>
  </si>
  <si>
    <t>5) ค่าเบี้ยเลี้ยงทีมงาน (4 คนx2 ครั้ง x3 วัน x 240 บาท)</t>
  </si>
  <si>
    <t>6) ค่าที่พักวิทยากร และทีมงาน (ตจว.) (5 คนx2 ครั้งx3วันx1,200 บาท)</t>
  </si>
  <si>
    <t>7) ค่าพาหนะ(รถตู้ + ค่าน้ำมัน) (1 คันx2 ครั้ง x3 วัน x 2,250 บาท)</t>
  </si>
  <si>
    <t xml:space="preserve">(3.4.3) วางระบบการจัดการสิ่งแวดล้อมในโรงงานร่วมกับพนักงานเพื่อปรับปรุงแก้ไขกระบวนการผลิตให้ถูกต้องตามกฎหมาย ลดปัญหาสิ่งแวดล้อม ลดต้นทุนการผลิต 60 โรงๆ ละ 5 วัน </t>
  </si>
  <si>
    <t>1) ค่าจัดทำเอกสาร (60 โรงx5 ชุดx5วัน x 50 บาท)</t>
  </si>
  <si>
    <t xml:space="preserve">2) วิเคราะห์น้ำระบบบำบัด ก่อน-หลังการปรับปรุงรวม 4 ตัวอย่างๆ/โรง60 โรง (pH BOD COD SS O&amp;G หรือโลหะหนัก) </t>
  </si>
  <si>
    <t>3) ค่าเบี้ยเลี้ยงทีมงาน (2 คนx 60โรง x5  วัน x 240 บาท)</t>
  </si>
  <si>
    <t>4) ค่าที่พักผู้เชี่ยวชาญและทีมงาน (ตจว.) (5 คนx 60โรงx5วันx1,200 บาท)</t>
  </si>
  <si>
    <t>5) ค่าพาหนะ(รถตู้ + ค่าน้ำมัน) (1 คันx 60โรง x5 วัน x 2,250 บาท)</t>
  </si>
  <si>
    <t xml:space="preserve">(3.4.4)  ปรับปรุงแก้ไขกระบวนการผลิตให้ถูกต้องตามกฎหมาย ลดปัญหาสิ่งแวดล้อม ลดต้นทุนการผลิต และตรวจประเมินระบบการจัดการสิ่งแวดล้อม 60 โรงๆ ละ 2 วัน </t>
  </si>
  <si>
    <t>1) ค่าจัดทำเอกสาร (60 โรงx5 ชุดx2วัน x 50 บาท)</t>
  </si>
  <si>
    <t>2) ค่าเบี้ยเลี้ยงทีมงาน (3 คนx 60โรง x2  วัน x 240 บาท)</t>
  </si>
  <si>
    <t>4) ค่าที่พักผู้เชี่ยวชาญและทีมงาน (ตจว.) (4 คนx 60โรงx2วันx1,200 บาท)</t>
  </si>
  <si>
    <t>5) ค่าพาหนะ(รถตู้ + ค่าน้ำมัน) (1 คันx 60โรง x2 วัน x 2,250 บาท)</t>
  </si>
  <si>
    <t xml:space="preserve">(3.4.5) จัดทำคู่มือการจัดการสิ่งแวดล้อม 2 รายสาขา และตราสัญลักษณ์การรับรองระบบการจัดการสิ่งแวดล้อม   </t>
  </si>
  <si>
    <t>1) ค่าจัดทำคู่มือการจัดการสิ่งแวดล้อม (2 ฉบับ x500 เล่มx 500 บาท)</t>
  </si>
  <si>
    <t>2) ค่าจัดทำตราสัญลักษณ์การรับรองระบบการจัดการสิ่งแวดล้อม(60 ชุดx 2000 บาท)</t>
  </si>
  <si>
    <t xml:space="preserve">(3.4.6) เผยแพร่ผลสำเร็จการดำเนินงาน และกรณีตัวอย่างเพื่อให้โรงงานนำไปปฏิบัติใช้ 2 พื้นที่เป้าหมาย พื้นที่ละ 1 วัน </t>
  </si>
  <si>
    <t>(3.4.7) ค่าใช้จ่ายในการจัดทำรายงาน</t>
  </si>
  <si>
    <t xml:space="preserve">1) รายงานเสนอคณะกรรมการประสานรับมอบงาน ( 2 ฉบับx10 เล่ม x10ครั้ง x200บาท) </t>
  </si>
  <si>
    <t>2) รายงานฉบับเบื้องต้น (2 ฉบับx 20 เล่ม x500 บาท)</t>
  </si>
  <si>
    <t>3) รายงานความก้าวหน้า ( 4 ฉบับ x20 เล่มx600 บาท)</t>
  </si>
  <si>
    <t>4) ร่างรายงานฉบับสมบูรณ์ ( 2 ฉบับ x20 เล่มx1,500 บาท)</t>
  </si>
  <si>
    <t>5) รายงานฉบับสมบูรณ์ และรายงานสรุปผู้บริหาร(อย่างละ 2 ฉบับ x 20 เล่ม x2,000 บาท)</t>
  </si>
  <si>
    <t>(3.4.8) ค่าใช้จ่ายสำนักงาน</t>
  </si>
  <si>
    <t>ส่งเสริมและพัฒนาสถานประกอบการสู่อุตสาหกรรมสีเขียว (Green Industry) จำนวน 500 ราย</t>
  </si>
  <si>
    <t xml:space="preserve">(3.5.1) ถ่ายทอดความรู้อุตสาหกรรมสีเขียว และสร้างความเข้าใจให้กลุ่มเป้าหมาย </t>
  </si>
  <si>
    <t xml:space="preserve">1) จัดทำคู่มืออุตสาหกรรมสีเขียว (3000 เล่ม x 200 บาท) </t>
  </si>
  <si>
    <t xml:space="preserve">2) ประชาสัมพันธ์เผยแพร่ทางสื่อโฆษณา Out of Home Media (OHM) (60 วัน x7000บาท) </t>
  </si>
  <si>
    <t>3) จัดทำจุลสาร Green Industry  (1,000 เล่ม x 100 บาท)</t>
  </si>
  <si>
    <t>4)เผยแพร่ทางสื่อวิทยุ 30 วินาที (60 ครั้ง x5,000 บาท)</t>
  </si>
  <si>
    <t>5) จัดทำสื่อวีดีทัศน์ 15 นาที</t>
  </si>
  <si>
    <t>6) จัดทำอุปกรณ์แสดงภาพแบบม้วนเก็บ (6ชุด x5000 บาท)</t>
  </si>
  <si>
    <t xml:space="preserve">(3.5.2) จัดเสวนา ให้ความรู้และรับสมัครโรงงาน จำนวน 100 ราย จำนวน ๕ ครั้ง </t>
  </si>
  <si>
    <t>1) ค่าจัดทำเอกสาร (100 ชุดx5ครั้ง x 200 บาท)</t>
  </si>
  <si>
    <t xml:space="preserve">3) ค่าอาหารและเครื่องดื่ม (100 คนx5ครั้ง x 600 บาท) </t>
  </si>
  <si>
    <t>4) ค่าวิทยากร ( 1 คนx7 ชั่วโมงx5 วัน x 1,200 บาท  )</t>
  </si>
  <si>
    <t>5) ค่าเบี้ยเลี้ยงทีมงาน (4 คน x5 วัน x 240 บาท)</t>
  </si>
  <si>
    <t>6) ค่าที่พักวิทยากร และทีมงาน (ตจว.) (5 คนx5วันx1,200 บาท)</t>
  </si>
  <si>
    <t>7) ค่าพาหนะ(รถตู้ + ค่าน้ำมัน) (1 คัน x5 วัน x 2,250 บาท)</t>
  </si>
  <si>
    <t>(3.5.3) จัดบูธเพื่อให้สถานประกอบการได้จำหน่ายสินค้าภายใต้อุตสาหกรรมสีเขียวและบริการที่เป็นมิตรต่อสิ่งแวดล้อม</t>
  </si>
  <si>
    <t xml:space="preserve"> - ค่าจัดบูธ (3 ครั้ง x 35000 บาท)</t>
  </si>
  <si>
    <t>(3.5.4) ค่าใช้จ่ายงานรับรางวัลอุตสาหกรรมสีเขียว</t>
  </si>
  <si>
    <t>1) ค่าจัดทำโล่ห์ (500  ชุดx 2,500 บาท)</t>
  </si>
  <si>
    <t>2) ค่าจัดทำเอกสาร (500 ชุดx 200 บาท)</t>
  </si>
  <si>
    <t xml:space="preserve">3) ค่าอาหารและเครื่องดื่ม (500 คนx 600 บาท) </t>
  </si>
  <si>
    <t>4) ค่าวิทยากร ( 1 คนx7 ชั่วโมงx1 วัน x 1,200 บาท  )</t>
  </si>
  <si>
    <t>5) ค่าเบี้ยเลี้ยงทีมงาน (4 คน x1 วัน x 240 บาท)</t>
  </si>
  <si>
    <t>(3.5.5) ค่าใช้จ่ายในการจัดทำรายงาน</t>
  </si>
  <si>
    <t>(3.5.6) ค่าใช้จ่ายสำนักงาน</t>
  </si>
  <si>
    <t xml:space="preserve">1) ค่าสำนักงานและสาธารณูปโภค </t>
  </si>
  <si>
    <t>2) ค่าติดต่อสื่อสาร/ค่าเครื่องเขียนแบบพิมพ์</t>
  </si>
  <si>
    <t xml:space="preserve">3) ค่าใช้จ่ายเบ็ดเตล็ดอื่นๆ เช่น ค่าติดต่อประสานงาน </t>
  </si>
  <si>
    <t xml:space="preserve">ให้คำแนะนำเชิงลึกแก่สถานประกอบการเพื่อมุ่งสู่การเป็นอุตสาหกรรมสีเขียว จำนวน 500 ราย </t>
  </si>
  <si>
    <t>(3.6.1) ถ่ายทอดความรู้เกี่ยวกับสิ่งแวดล้อม อุตสาหกรรมสีเขียว และการลดต้นทุนการผลิต</t>
  </si>
  <si>
    <t>1) ค่าจัดทำเอกสาร (100 ชุดx 5 วันx 200 บาท )</t>
  </si>
  <si>
    <t xml:space="preserve">2) ค่าอาหารและเครื่องดื่ม  (100 คนx 5วัน x 600 บาท ) </t>
  </si>
  <si>
    <t xml:space="preserve"> 3) ค่าวิทยากร  (1 คน x7 ชั่วโมง x 5 วัน x 1,200 บาท )</t>
  </si>
  <si>
    <t>4) ค่าที่พักวิทยากร และทีมงาน (ตจว.) ( 5 คนx 5วันx 1,200 บาท )</t>
  </si>
  <si>
    <t>5) ค่าเบี้ยเลี้ยงทีมงาน (4 คน x 5 วัน x 240 บาท)</t>
  </si>
  <si>
    <t>6) ค่าพาหนะ(รถตู้ + ค่าน้ำมัน) (5 วัน x2,250 บาท )</t>
  </si>
  <si>
    <t xml:space="preserve"> 7)ค่าสถานที่และโสตทัศนูปกรณ์</t>
  </si>
  <si>
    <t xml:space="preserve">8) ค่าใช้จ่ายเบ็ดเตล็ดอื่นๆ เช่น ค่าติดต่อประสานงาน </t>
  </si>
  <si>
    <t xml:space="preserve"> (3.6.2) การถ่ายทอด และให้คำแนะนำเชิงลึกที่โรงงานเพื่อมุ่งสู่การเป็นอุตสาหกรรมสีเขียว 2 วัน</t>
  </si>
  <si>
    <t>1) ค่าจัดทำเอกสาร (500 ชุดx 200 บาท x2 วัน)</t>
  </si>
  <si>
    <t>2) ค่าพาหนะวิทยากรและทีมงาน (500 ราย xรถบัส 13 คัน x 2 ครั้ง x 13,400 บาท)</t>
  </si>
  <si>
    <t>3) ค่าเบี้ยเลี้ยงทีมงาน (2 คน x2 ครั้งx500โรงงานx 240 บาท)</t>
  </si>
  <si>
    <t>4) ค่าที่พักวิทยากร และทีมงาน (3 คน x2 ครั้งx500โรงงานx1200 บาท )</t>
  </si>
  <si>
    <t>(3.6.3) ค่าใช้จ่ายในการจัดทำเอกสารและรายงาน</t>
  </si>
  <si>
    <t xml:space="preserve">1) รายงานเสนอคณะกรรมการประสานรับมอบงาน ( 2 ฉบับ*10 เล่ม *10ครั้ง *200บาท) </t>
  </si>
  <si>
    <t>2) รายงานฉบับเบื้องต้น (2 ฉบับ 20 เล่ม * 500 บาท)</t>
  </si>
  <si>
    <t>3) รายงานความก้าวหน้า ( 4 ฉบับ *20 เล่ม*600 บาท)</t>
  </si>
  <si>
    <t>4) ร่างรายงานฉบับสมบูรณ์ ( 2 ฉบับ *20 เล่ม*1,500 บาท)</t>
  </si>
  <si>
    <t>5) รายงานฉบับสมบูรณ์ และรายงานสรุปผู้บริหาร(อย่างละ 2 ฉบับ * 20 เล่ม *2,000 บาท)</t>
  </si>
  <si>
    <t>(3.6.4) ค่าใช้จ่ายสำนักงาน</t>
  </si>
  <si>
    <t>ตรวจประเมินสถานประกอบการที่ขอเทียบระดับหรือเลื่อนระดับสู่อุตสาหกรรมสีเขียว 180 ราย</t>
  </si>
  <si>
    <t xml:space="preserve"> (3.7.1) ตรวจประเมินสถานประกอบการที่ขอเทียบระดับหรือเลื่อนระดับสู่อุตสาหกรรมสีเขียว</t>
  </si>
  <si>
    <t>1) ค่าจัดทำเอกสาร (180 ชุดx 200 บาท)</t>
  </si>
  <si>
    <t>2) ค่าพาหะเดินทาง (ตจว.) (รถตู้ 1 คัน x 120วันx 1,200 บาท)</t>
  </si>
  <si>
    <t>3) ค่าพาหะเดินทาง (ตจว.) เครื่องบิน 16 เที่ยวx 5 คนx5,000 บาท)</t>
  </si>
  <si>
    <t>4) ค่าเบี้ยเลี้ยงทีมงาน (4 คนx 120 วัน x 240 บาท )</t>
  </si>
  <si>
    <t>5) ค่าที่พักผู้เชี่ยวชาญ และทีมงาน (ตจว.) (5 คนx120วันx1,200 บาท)</t>
  </si>
  <si>
    <t>(3.7.2) ค่าใช้จ่ายในการจัดทำเอกสารและรายงาน</t>
  </si>
  <si>
    <t xml:space="preserve">1) รายงานเสนอคณะกรรมการประสานรับมอบงาน (1 ฉบับ*10 เล่ม *10ครั้ง *200บาท) </t>
  </si>
  <si>
    <t>2) รายงานฉบับเบื้องต้น 1 ฉบับ 20 เล่ม * 500 บาท)</t>
  </si>
  <si>
    <t>3) รายงานความก้าวหน้า ( 2 ฉบับ *20 เล่ม*600 บาท)</t>
  </si>
  <si>
    <t>4) ร่างรายงานฉบับสมบูรณ์ ( 1 ฉบับ *20 เล่ม*1,500 บาท)</t>
  </si>
  <si>
    <t>5) รายงานฉบับสมบูรณ์ และรายงานสรุปผู้บริหาร(อย่างละ 1 ฉบับ * 20 เล่ม *2,000 บาท)</t>
  </si>
  <si>
    <t>(3.7.3) ค่าใช้จ่ายสำนักงาน</t>
  </si>
  <si>
    <t xml:space="preserve">                               7.1.2 โครงการส่งเสริม พัฒนา สถานประกอบการเข้าสู่อุตสาหกรรมสีเขียว</t>
  </si>
  <si>
    <t xml:space="preserve">  (สำนักงานอุตสาหกรรมจังหวัด งบประมาณ 16.0 ล้านบาท)</t>
  </si>
  <si>
    <t>1.1) ผู้จัดการโครงการ ป.โท ประสบการณ์ 15 ปี (1 คน x 90,000 บาท/เดือน x 9 เดือน)</t>
  </si>
  <si>
    <t>1.2) ผู้ประสานงานโครงการ ป.โท ประสบการณ์ 10 ปี (2 คน x 44,000 บาท/เดือน x9 เดือน)</t>
  </si>
  <si>
    <t xml:space="preserve"> 1.3) ผู้เชี่ยวชาญระบบการจัดการสิ่งแวดล้อม ป.โท ประสบการณ์ 10 ปี (4 คน x 60,000 บาท/เดือน x4 เดือน)</t>
  </si>
  <si>
    <t>1.4) ผู้เชี่ยวชาญด้านอุตสาหกรรมสีเขียว ป.โท ประสบการณ์ 10 ปี (2 คน x 60,000 บาท/เดือน x 5 เดือน)</t>
  </si>
  <si>
    <t>1.5) ผู้ดำเนินงานด้านการมีส่วนร่วมของประชาชน ป.โท ประสบการณ์ 5 ปี (2 คน x 50,000 บาท/เดือน x 5 เดือน)</t>
  </si>
  <si>
    <t xml:space="preserve">1.6) ผู้เชี่ยวชาญด้านมาตรฐานการพัฒนา ป.โท ประสบการณ์ 10 ปี (2 คน x60,000 บาท/เดือน x 4 เดือน) </t>
  </si>
  <si>
    <t xml:space="preserve">1.7) วิศวกรประจำโครงการ ป.ตรี ประสบการณ์ 5 ปี (6 คน x55,000 บาท/เดือน x  5 เดือน) </t>
  </si>
  <si>
    <t xml:space="preserve">1.8) นักวิทยาศาสตร์ประจำโครงการ ป.ตรี ประสบการณ์ 5 ปี (6 คน x35,000 บาท/เดือน x 5 เดือน) </t>
  </si>
  <si>
    <t xml:space="preserve">1.9) เจ้าหน้าที่ธุรการ ประมวลผลข้อมูล ป.ตรี ประสบการณ์ 3 ปี (4 คน x12,000 บาท/เดือน x  9 เดือน) </t>
  </si>
  <si>
    <t>ส่งเสริมและพัฒนาสถานประกอบการสู่อุตสาหกรรมสีเขียว (Green Industry) จำนวน 3,200 ราย</t>
  </si>
  <si>
    <t xml:space="preserve">2.1) ค่าอาหารและเครื่องดื่ม (3,200 คน x 600 บาท) </t>
  </si>
  <si>
    <t>2.2) ค่าวิทยากร (7 ชั่วโมง x 1,200 บาท x 10 วัน x 1 คน)</t>
  </si>
  <si>
    <t>2.3) ค่าจัดทำเอกสารถ่ายทอดความรู้ (3,200 คน x 200 บาท)</t>
  </si>
  <si>
    <t>2.4) ค่าพาหนะ(รถตู้ + ค่าน้ำมัน) (1 คัน x10 วัน x 2,250 บาท)</t>
  </si>
  <si>
    <t>2.5) ค่าที่พักวิทยากร และทีมงาน (ตจว.) (1,200 บาท x5 คน x 10 วัน)</t>
  </si>
  <si>
    <t>2.6) ค่าเบี้ยเลี้ยง (5 คน x 10 วัน x 240 บาท)</t>
  </si>
  <si>
    <t>2.7) ค่าสถานที่และโสตทัศนูปกรณ์</t>
  </si>
  <si>
    <t xml:space="preserve">2.8) ค่าใช้จ่ายเบ็ดเตล็ดอื่นๆ เช่น ค่าติดต่อประสานงาน </t>
  </si>
  <si>
    <t>3.1) ถ่ายทอดความรู้เกี่ยวกับสิ่งแวดล้อม อุตสาหกรรมสีเขียว และการลดต้นทุนการผลิต</t>
  </si>
  <si>
    <t xml:space="preserve"> - ค่าจัดทำเอกสาร (100 ชุดx 200 บาท x 5 วัน)</t>
  </si>
  <si>
    <t xml:space="preserve"> - ค่าอาหารและเครื่องดื่ม  (100 คน x 600 บาท x 5วัน) </t>
  </si>
  <si>
    <t xml:space="preserve">  - ค่าวิทยากร  (7 ชั่วโมง x 1,200 บาท x 5 วัน x 1 คน)</t>
  </si>
  <si>
    <t xml:space="preserve"> - ค่าที่พักวิทยากร และทีมงาน (ตจว.) (1,200 บาท x 5 คน x 5วัน)</t>
  </si>
  <si>
    <t xml:space="preserve"> - ค่าเบี้ยเลี้ยงทีมงาน (4 คน x 240 บาท x 5 วัน)</t>
  </si>
  <si>
    <t xml:space="preserve"> - ค่าพาหนะ(รถตู้ + ค่าน้ำมัน) (2,250 บาท x 5 วัน)</t>
  </si>
  <si>
    <t xml:space="preserve"> - ค่าสถานที่และโสตทัศนูปกรณ์</t>
  </si>
  <si>
    <t>3.2) การถ่ายทอด และให้คำแนะนำเชิงลึกที่โรงงานเพื่อมุ่งสู่การเป็นอุตสาหกรรมสีเขียว 2 วัน</t>
  </si>
  <si>
    <t xml:space="preserve"> - ค่าจัดทำเอกสาร (500 รายๆ ละ 5 ชุดx 200 บาท x2 วัน)</t>
  </si>
  <si>
    <t xml:space="preserve"> - ค่าพาหนะวิทยากรและทีมงาน (500 ราย xรถตู้ 1 คัน x 2 ครั้ง x 2,250 บาท)</t>
  </si>
  <si>
    <t xml:space="preserve"> - ค่าเบี้ยเลี้ยงทีมงาน (2 คน x2 วัน x 240 บาทx500 ราย )</t>
  </si>
  <si>
    <t xml:space="preserve"> - ค่าที่พักวิทยากร และทีมงาน (3 คน x2 วัน 1200 บาท x 500 ราย)</t>
  </si>
  <si>
    <t>ค่าใช้จ่ายในการจัดทำเอกสารและรายงาน</t>
  </si>
  <si>
    <t xml:space="preserve">4.1) รายงานเสนอคณะกรรมการประสานรับมอบงาน ( 2 ฉบับ*10 เล่ม *10ครั้ง *200บาท) </t>
  </si>
  <si>
    <t>4.2) รายงานฉบับเบื้องต้น (2 ฉบับ 20 เล่ม * 500 บาท)</t>
  </si>
  <si>
    <t>4.3) รายงานความก้าวหน้า ( 4 ฉบับ *20 เล่ม*600 บาท)</t>
  </si>
  <si>
    <t>4.4) ร่างรายงานฉบับสมบูรณ์ ( 2 ฉบับ *20 เล่ม*1,500 บาท)</t>
  </si>
  <si>
    <t>4.5) รายงานฉบับสมบูรณ์ และรายงานสรุปผู้บริหาร(อย่างละ 2 ฉบับ * 20 เล่ม *2,000 บาท)</t>
  </si>
  <si>
    <t xml:space="preserve"> - ค่าสำนักงานและสาธารณูปโภค (9 เดือน)</t>
  </si>
  <si>
    <t xml:space="preserve">รวมทั้งสิ้น </t>
  </si>
  <si>
    <t>รายละเอียดค่าใช่จาย</t>
  </si>
  <si>
    <t xml:space="preserve">7.2.1 โครงการจัดทำระบบประเมินความเสี่ยงและประเมินอายุหม้อน้ำและภาชนะรับแรงดัน
</t>
  </si>
  <si>
    <t>งบประมาณ 2561</t>
  </si>
  <si>
    <t>บุคลากรดำเนินงาน</t>
  </si>
  <si>
    <t>จำนวนคน</t>
  </si>
  <si>
    <t>คน-เดือน</t>
  </si>
  <si>
    <t>ค่าใช้จ่ายในการจัดประชุมจัดทำหลักเกณฑ์ ( ครั้งละ 1 วัน)</t>
  </si>
  <si>
    <t xml:space="preserve"> - ค่าใช้จ่ายผู้เชี่ยวชาญ/ผู้ทรงคุณวุฒิ (1,200 บาทต่อคน จำนวน 10 คน)</t>
  </si>
  <si>
    <t xml:space="preserve"> - ค่าเช่าสถานที่</t>
  </si>
  <si>
    <t xml:space="preserve"> - ค่าเอกสารประกอบการประชุม</t>
  </si>
  <si>
    <t>ค่าใช้จ่ายในการจัดหาข้อกำหนดจากมาตรฐานในการประเมินอายุ</t>
  </si>
  <si>
    <t>งาน</t>
  </si>
  <si>
    <t>หม้อน้ำที่เป็นสากล</t>
  </si>
  <si>
    <t>ค่าใช้จ่ายในการจัดทำแบบจำลองความเสียหายของหม้อน้ำที่เกิดขึ้น</t>
  </si>
  <si>
    <t>จากกรณีต่างๆเช่น ความเสียหายจากกรณีน้ำในหม้อน้ำแห้ง ความเสียหายจากแรงดัน</t>
  </si>
  <si>
    <t>เกินพิกัดใช้งาน</t>
  </si>
  <si>
    <t>ค่าใช้จ่ายจัดทำคู่มือ</t>
  </si>
  <si>
    <t xml:space="preserve">ค่าใช้จ่ายเบ็ดเตล็ดอื่นๆ เช่น ค่าติดต่อประสานงาน </t>
  </si>
  <si>
    <t>เอกสารแผ่นพับ</t>
  </si>
  <si>
    <t>Roll Up</t>
  </si>
  <si>
    <t>วีดีทัศน์ประชาสัมพันธ์โครงการ 5 นาที</t>
  </si>
  <si>
    <t>ค่าอาหาร อาหารว่าง (1 มื้อหลัก, 2 เบรก )</t>
  </si>
  <si>
    <t>คน</t>
  </si>
  <si>
    <t>ค่าวิทยากรบรรยาย (ชั่วโมงละ 1200 บาท x 7 ชั่วโมง/วัน x 2วัน)</t>
  </si>
  <si>
    <t>ค่าใช้จ่ายในการเปิด-ปิด การอบรม (800 บาท ต่อคนต่อหลักสูตร)</t>
  </si>
  <si>
    <t>ค่าสถานที่ในการจัดฝึกอบรม</t>
  </si>
  <si>
    <t>ค่าเบี้ยเลี้ยงเจ้าหน้าที่ดำเนินงาน (จำนวน 4 คน คนละ 240 บาท)</t>
  </si>
  <si>
    <t>ค่าเดินทางเจ้าหน้าที่ดำเนินงาน</t>
  </si>
  <si>
    <t>ค่าที่พักเจ้าหน้าที่ (คืนละ 750 บาทต่อคน)</t>
  </si>
  <si>
    <t>คืน</t>
  </si>
  <si>
    <t>ดำเนินการสำรวจกรณีศึกษาจากโรงงานที่เคยเกิดเหตุเสียหาย</t>
  </si>
  <si>
    <t>ค่าใช้จ่ายด้านเอกสารและค่าเบ็ดเตล็ด</t>
  </si>
  <si>
    <t>ค่าเดินทาง ค่ารถเจ้าหน้าที่ วิทยากร</t>
  </si>
  <si>
    <t>คัน-วัน</t>
  </si>
  <si>
    <t>ค่าใช้จ่ายในการติดต่อสื่อสารประสานงาน</t>
  </si>
  <si>
    <t>โรงงาน</t>
  </si>
  <si>
    <t>ค่าเข้าตรวจเหตุการณ์ที่เคยเกิดเหตุ</t>
  </si>
  <si>
    <t>การจัดเตรียมเอกสารรายงาน</t>
  </si>
  <si>
    <t>รายงานขั้นต้น</t>
  </si>
  <si>
    <t>รายงานความก้าวหน้าฉบับกลาง</t>
  </si>
  <si>
    <t>รายงานส่งผู้บริหาร(ภาษาไทย + อังกฤษ)</t>
  </si>
  <si>
    <t>รวมเงินค่าดำเนินการ</t>
  </si>
  <si>
    <t>กิจกรรมที่ 1 จัดทำหลักเกณฑ์หรือมาตรฐานความปลอดภัย</t>
  </si>
  <si>
    <t>กิจกรรมที่ 2 ยกระดับศักยภาพบุคลากรภาคอุตสาหกรรม</t>
  </si>
  <si>
    <t xml:space="preserve">การสร้างความรู้ ความเข้าใจเกี่ยวกับหลักเกณฑ์/มาตรฐานความปลอดภัย และชี้แจงรายละเอียดโครงการ </t>
  </si>
  <si>
    <t xml:space="preserve">การเพิ่มประสิทธิภาพการปฏิบัติงานของเจ้าหน้าที่รัฐให้มีองค์ความรู้เกี่ยวกับ
มาตรฐานความปลอดภัย </t>
  </si>
  <si>
    <t>ให้ความรู้ และให้คำแนะนำเกี่ยวกับการเข้าร่วมดำเนินการโครงการและหลักเกณฑ์/มาตรฐานความปลอดภัยสากลเบื้องต้น เพื่อเตรียมความพร้อมผู้ประกอบการที่ได้รับคัดเลือกเข้าร่วมโครงการ</t>
  </si>
  <si>
    <t xml:space="preserve">เพิ่มศักยภาพผู้ประกอบการสามารถปฏิบัติงานได้โดยให้คำแนะนำและสอนงาน (Supervise and Coaching) แก่โรงงาน </t>
  </si>
  <si>
    <t xml:space="preserve">ประเมินผลและทวนสอบ (Evaluate and Verified) โรงงาน เพื่อให้ผู้ประกอบการพัฒนาขีดความสามารถเพิ่มขึ้น </t>
  </si>
  <si>
    <t>ถ่ายทอดองค์ความรู้และประสบการณ์และสรุปผลการดำเนินโครงการ ให้แก่องค์กรภาคธุรกิจ และหน่วยงานภาคราชการที่เกี่ยวข้อง</t>
  </si>
  <si>
    <t>กิจกรรมที่ 3 พัฒนาศักยภาพเจ้าหน้าที่ของกระทรวงอุตสาหกรรม</t>
  </si>
  <si>
    <t xml:space="preserve">พัฒนาศักยภาพเจ้าหน้าที่ของกระทรวงอุตสาหกรรม ให้สามารถปฏิบัติงานเพื่อให้คำแนะนำและสอนงาน (Supervise and Coaching) แก่โรงงานตามหลักเกณฑ์หรือมาตรฐานความปลอดภัยสากลเบื้องต้น </t>
  </si>
  <si>
    <t>พัฒนาศักยภาพเจ้าหน้าที่ของกระทรวงอุตสาหกรรม ให้สามารถปฏิบัติงานเพื่อประเมินผลและทวนสอบ (Evaluate and Verified) โรงงานตามหลักเกณฑ์หรือมาตรฐานความปลอดภัยสากลเบื้องต้น</t>
  </si>
  <si>
    <t xml:space="preserve">การระดมความคิดเห็นเพื่อทบทวนและปรับปรุงหลักเกณฑ์หรือมาตรฐานความปลอดภัยสำหรับผู้ประกอบการ SMEs ให้เหมาะสม </t>
  </si>
  <si>
    <t xml:space="preserve">การแลกเปลี่ยนเรียนรู้ประสบการณ์ระหว่างหน่วยงานที่เกี่ยวข้องกับความปลอดภัย </t>
  </si>
  <si>
    <t xml:space="preserve">7.4.1 โครงการศึกษาข้อมูลมลพิษกลิ่นเพื่องานเฝ้าระวังสำหรับการแก้ไขปัญหาเหตุร้องเรียน </t>
  </si>
  <si>
    <t xml:space="preserve">โครงการศึกษาข้อมูลมลพิษกลิ่นเพื่องานเฝ้าระวังสำหรับการแก้ไขปัญหาเหตุร้องเรียน </t>
  </si>
  <si>
    <r>
      <t>-</t>
    </r>
    <r>
      <rPr>
        <sz val="7"/>
        <color rgb="FF000000"/>
        <rFont val="TH SarabunPSK"/>
        <family val="2"/>
      </rPr>
      <t xml:space="preserve">       </t>
    </r>
    <r>
      <rPr>
        <sz val="16"/>
        <color rgb="FF000000"/>
        <rFont val="TH SarabunPSK"/>
        <family val="2"/>
      </rPr>
      <t>ผู้ประสานงานโครงการ ป.ตรี (1 คน x 15,000 บาท x 7 เดือน)</t>
    </r>
  </si>
  <si>
    <t>งบดำเนินงาน</t>
  </si>
  <si>
    <t>ค่าการศึกษาข้อมูลเพื่อคัดเลือกโรงงานพร้อมวางแผนการดำเนินงาน</t>
  </si>
  <si>
    <t>ค่าตรวจวัดกลิ่นโดยวิธีการดมกลิ่น (sensory test)  (72 ครั้ง x 25,000)</t>
  </si>
  <si>
    <t>ค่าตรวจวัดกลิ่นด้วยเครื่อง GC (40 ครั้ง x 20,000)</t>
  </si>
  <si>
    <t>ค่าตรวจวัดกลิ่นด้วยเครื่อง electronic nose (72 ครั้ง x 1,000)</t>
  </si>
  <si>
    <t xml:space="preserve">การจัดให้ความรู้ ความเข้าใจแก่เจ้าหน้าที่ และผู้ประกอบการ </t>
  </si>
  <si>
    <t>ค่าอาหารกกลางวัน (30 คน X 500 บาท)</t>
  </si>
  <si>
    <t>ค่าอาหารว่าง เครื่องดื่ม (30 คน X 50 บาท )</t>
  </si>
  <si>
    <t>ค่าเอกสาร (30 คน X 70 บาท )</t>
  </si>
  <si>
    <t>ค่าเช่าห้องประชุมและอุปกรณ์ห้องประชุม</t>
  </si>
  <si>
    <t>รายงานฉบับต้น (400 บาทx6ชุด)</t>
  </si>
  <si>
    <t>รายงานฉบับกลาง (500 บาทx6ชุด)</t>
  </si>
  <si>
    <t>ร่างรายงานฉบับสมบูรณ์ (800 บาทx6ชุด)</t>
  </si>
  <si>
    <t>รายงานฉบับสมบูรณ์ (1000 บาทx6ชุด)</t>
  </si>
  <si>
    <t>สี่ล้านบาทถ้วน</t>
  </si>
  <si>
    <t xml:space="preserve">7.4.2 โครงการจัดทำระบบการรับรองความสามารถบุคลากรห้องปฏิบัติการวิเคราะห์เอกชนที่ขึ้นทะเบียนกับกรมโรงงานอุตสาหกรรม
</t>
  </si>
  <si>
    <t>โครงการจัดทำระบบการรับรองความสามารถบุคลากรห้องปฏิบัติการวิเคราะห์เอกชนที่ขึ้นทะเบียนกับกรมโรงงานอุตสาหกรรม</t>
  </si>
  <si>
    <t>การดำเนินการ</t>
  </si>
  <si>
    <t>ศึกษาและจัดทำหลักเกณฑ์ กำหนดคุณสมบัติของบุคลากร</t>
  </si>
  <si>
    <t>ศึกษาและจัดทำหลักสูตรสำหรับการอบรมบุคลากร</t>
  </si>
  <si>
    <t xml:space="preserve"> ศึกษาและออกแบบแนวทางข้อสอบ</t>
  </si>
  <si>
    <t>จัดทำคลังข้อสอบโดยมีการตรวจสอบความใช้ได้ (Validation) ไม่น้อยกว่า 3,000 ข้อ</t>
  </si>
  <si>
    <t>(ข้อละ 260 บาท x 3,000 ข้อ)</t>
  </si>
  <si>
    <t xml:space="preserve"> ค่าใช้จ่ายในการสัมมนารับฟังความคิดเห็น อย่างน้อย 250 คน </t>
  </si>
  <si>
    <t xml:space="preserve"> - ค่าอาหารกลางวัน (500 บาท x 250 คน)</t>
  </si>
  <si>
    <t xml:space="preserve"> - ค่าอาหารว่างและเครื่องดื่ม (50 บาท x 250 คน)</t>
  </si>
  <si>
    <t xml:space="preserve"> - ค่าเอกสาร (100 บาท x 250 คน)</t>
  </si>
  <si>
    <t xml:space="preserve"> - ค่าเช่าสถานที่และอุปกรณ์โสตฯ (4,800 บาท x 1 วัน)</t>
  </si>
  <si>
    <t>ประชาสัมพันธ์โครงการผ่านสื่อต่างๆ</t>
  </si>
  <si>
    <t xml:space="preserve"> - เว็บไซด์</t>
  </si>
  <si>
    <t xml:space="preserve"> - แผ่นพับ (5 บาท x 300 แผ่น)</t>
  </si>
  <si>
    <t>- รายงานฉบับที่ 1 (8 เล่ม x 250 บาท)</t>
  </si>
  <si>
    <t>- รายงานฉบับที่ 2  (8 เล่ม x 500 บาท)</t>
  </si>
  <si>
    <t>- รายงานฉบับที่ 3  (8 เล่ม x 800 บาท)</t>
  </si>
  <si>
    <t>- รายงานฉบับที่ 4 (ฉบับสมบูรณ์)  (8 เล่ม x 1,200 บาท)</t>
  </si>
  <si>
    <t>- รายงานสรุปสำหรับผู้บริหาร  (8 เล่ม x 200 บาท)</t>
  </si>
  <si>
    <t>- แผ่นบันทึกข้อมูล CD (Compact Disc) (10 แผ่น x 10 บาท)</t>
  </si>
  <si>
    <t>สองล้านบาทถ้วน</t>
  </si>
  <si>
    <t>- ค่าที่พัก (คืนละ 1,200 บาท x 5 คน x 50 คืน)</t>
  </si>
  <si>
    <t>ผู้จัดการโครงการ ประสบการณ์ (12 ปี) (ป.โท )</t>
  </si>
  <si>
    <t>1) บุคลากรหลัก</t>
  </si>
  <si>
    <t>ผู้จัดการโครงการ ประสบการณ์ไม่น้อยกว่า 10 ปี</t>
  </si>
  <si>
    <t>ผู้เชี่ยวชาญด้านการจัดการสิ่งแวดล้อมหรือคุณภาพน้ำ  ประสบการณ์ไม่น้อยกว่า 10 ปี</t>
  </si>
  <si>
    <t>ผู้เชี่ยวชาญด้านเศรษฐศาสตร์  ประสบการณ์ไม่น้อยกว่า 10 ปี</t>
  </si>
  <si>
    <t>กิจกรรมการชี้แจงให้ข้อมูลรายละเอียดโครงการแก่ผู้ประกอบการกลุ่มเป้าหมาย การประเมินศักยภาพในการบำบัดน้ำเสีย และการเผยแพร่หลักปฏิบัติหรือแนวทางที่เหมาะสม</t>
  </si>
  <si>
    <t>9.2 การเผยแพร่หลักปฏิบัติหรือแนวทางที่เหมาะสม ไม่ต่ำกว่า 100 คน</t>
  </si>
  <si>
    <t>9.1 การชี้แจงให้ข้อมูลรายละเอียดโครงการแก่ผู้ประกอบการกลุ่มเป้าหมายและประเมินศักยภาพในการบำบัดน้ำเสีย ไม่ต่ำกว่า 100 คน</t>
  </si>
  <si>
    <t>- ค่าจัดทำเอกสารประกอบการประชุม</t>
  </si>
  <si>
    <t>กิจกรรมสำรวจพื้นที่การลงทุนและความสามารถการรองรับน้ำเสียของอุตสาหกรรมเป้าหมาย (ภาคสนาม)</t>
  </si>
  <si>
    <t>ถังปฏิกรณ์</t>
  </si>
  <si>
    <t>โครงสร้างโมเดล</t>
  </si>
  <si>
    <t>pump สารเคมี</t>
  </si>
  <si>
    <t>ใบกวนพร้อมมอเตอร์</t>
  </si>
  <si>
    <t>สารเคมี</t>
  </si>
  <si>
    <t>pH มิเตอร์</t>
  </si>
  <si>
    <t>DO มิเตอร์</t>
  </si>
  <si>
    <t>ระบบเติมอากาศและเวียนตะกอน</t>
  </si>
  <si>
    <t>ระบบไฟฟ้า</t>
  </si>
  <si>
    <t>คู่มือเดินระบบและบำรุงรักษา</t>
  </si>
  <si>
    <t>เขียนแบบโมเดลระบบบำบัดน้ำเสีย</t>
  </si>
  <si>
    <t>1 งาน</t>
  </si>
  <si>
    <t>3 เครื่อง</t>
  </si>
  <si>
    <t>2 ชุด</t>
  </si>
  <si>
    <t>1 ชุด</t>
  </si>
  <si>
    <t>1 เครื่อง</t>
  </si>
  <si>
    <t>1. การชี้แจงให้ข้อมูลรายละเอียดโครงการแก่ผู้ประกอบการกลุ่มเป้าหมาย ไม่ต่ำกว่า 100 คน</t>
  </si>
  <si>
    <t>กิจกรรมการลงพื้นที่สำรวจโรงงานกลุ่มอุตสาหกรรมฟอกย้อมและสิ่งทอ กลุ่มเยื่อและกระดาษ กลุ่มชา กาแฟและเครื่องดื่ม เพื่อศึกษาประสิทธิภาพการบำบัดสีในน้ำทิ้งและความเป็นไปได้ตามมาตรฐานน้ำทิ้ง (เก็บตัวอย่างและวิเคราะห์น้ำเสียและน้ำทิ้ง จำนวน 40 โรงงานๆละ 2 จุด (จุดก่อนที่น้ำเสียเข้าสู่ระบบบำบัดและจุด้ำเสียออกจากระบบบำบัด)</t>
  </si>
  <si>
    <t>3 โมเดล</t>
  </si>
  <si>
    <t xml:space="preserve">กิจกรรมการจัดทำแบบจำลองเทคโนโลยีการบำบัดสี และทดสอบประสิทธิภาพการบำบัดที่สามารถนำไปใช้ได้จริง  พร้อมทั้งแบบแปลนการบำบัด ในกลุ่มอุตสาหกรรมเป้าหมาย </t>
  </si>
  <si>
    <t>การจัดทำคู่มือแบบจำลองเทคโนโลยีการบำบัดสี</t>
  </si>
  <si>
    <t>4. อบรมแบบจำลองเทคโนโลยีการบำบัดสีให้กับเจ้าหน้าที่ กรอ.</t>
  </si>
  <si>
    <t xml:space="preserve">กิจกรรมการชี้แจงให้ข้อมูลรายละเอียดโครงการแก่ผู้ประกอบการกลุ่มเป้าหมาย กิจกรรมการชี้แจงให้ข้อมูลรายละเอียดโครงการแก่ผู้ประกอบการกลุ่มเป้าหมาย การประเมินศักยภาพในการบำบัดสีในน้ำเสีย การถ่ายทอดหลักปฏิบัติที่ดีหรือแนวทางที่เหมาะสม (Fogus group) และเผยแพร่แบบจำลอง
</t>
  </si>
  <si>
    <t>- ค่าจ้างบุคคลลงพื้นที่สำรวจและเก็บข้อมูล (จำนวน 5 คน X วันละ1,000 บาท x 60 วัน)</t>
  </si>
  <si>
    <r>
      <t xml:space="preserve">กิจกรรมการเก็บตัวอย่างและวิเคราะห์น้ำเสียและน้ำทิ้ง จำนวน 14 แห่ง ๆละ 2 ครั้ง ก่อนและหลังเข้าร่วมโครงการ </t>
    </r>
    <r>
      <rPr>
        <b/>
        <sz val="14"/>
        <rFont val="TH SarabunPSK"/>
        <family val="2"/>
      </rPr>
      <t xml:space="preserve"> </t>
    </r>
  </si>
  <si>
    <t>2) บุคลากรสนับสนุน</t>
  </si>
  <si>
    <t>งบ  ดำเนินการ</t>
  </si>
  <si>
    <t>- ผู้จัดการโครงการ ป.โท  (วศ.ด/วท.ด) ประสบการณ์ 15 ปี (1 คน x 90,000 บาท/เดือน x 5 เดือน)</t>
  </si>
  <si>
    <t>- ผู้เชี่ยวชาญด้านการจัดการของเสีย ป.โท (วศ.ม/วท.ม) ประสบการณ์ 7 ปี (6 คน x 70,000 บาท/เดือน x 5 เดือน)</t>
  </si>
  <si>
    <t>- เจ้าหน้าที่ด้านสารสนเทศ ป.โท (วศ.ม/วท.ม) ประสบการณ์ 5 ปี (4 คน x 45,000 บาท/เดือน x 3 เดือน)</t>
  </si>
  <si>
    <t>- วิศวกรหรือนักวิทยาศาสตร์สิ่งแวดล้อม ป.โท (วศ.ม/วท.ม) ประสบการณ์ 3 ปี (20 คน x 28,000 บาท/เดือน x 3 เดือน)</t>
  </si>
  <si>
    <t>- ผู้เชี่ยวชาญด้านวิศวกรรม ป.เอก ประสบการณ์ไม่น้อยกว่า 20 ปี             (1 คน x 104,100 บาท/เดือน x 2.475 x 1 เดือน)</t>
  </si>
  <si>
    <t>- ผู้จัดการโครงการ ป.โท ประสบการณ์ไม่น้อยกว่า 10 ปี                       (1 คน x 43,600 บาท/เดือน x 2.475 x 2 เดือน)</t>
  </si>
  <si>
    <t>- ผู้เชี่ยวชาญด้านการวางนโยบายและกฎระเบียบ ป.โท ประสบการณ์ 7 ปี      (1 คน x 43,600 บาท/เดือน x 2.475 x 2 เดือน)</t>
  </si>
  <si>
    <t>- ผู้เชี่ยวชาญด้านสิ่งแวดล้อม ป.โท ประสบการณ์ 7 ปี                          (1 คน x 31,100 บาท/เดือน x 2.475 x 2 เดือน)</t>
  </si>
  <si>
    <t>-  ผู้เชี่ยวชาญด้านสังคม ป.โท ประสบการณ์ 7 ปี                                (1 คน x 31,100 บาท/เดือน x 2.475 x 2 เดือน)</t>
  </si>
  <si>
    <t>- ผู้เชี่ยวชาญด้านอุตสาหกรรม ป.โท ประสบการณ์ 7 ปี                          (1 คน x 31,100 บาท/เดือน x 2.475 x 2 เดือน)</t>
  </si>
  <si>
    <t>- เจ้าหน้าที่สนับสนุนโครงการ ป.ตรี (วศ.บ/วท.บ) ประสบการณ์ 2 ปี (45 คน x 16,000 บาท/เดือน x 8 เดือน)</t>
  </si>
  <si>
    <t>- ผู้ประสานงานโครงการ ป.โท (วศ.ม/วท.ม) ประสบการณ์ 2 ปี (2 คน x 20,000 บาท/เดือน x 9 เดือน)</t>
  </si>
  <si>
    <t xml:space="preserve">กิจกรรมเชิญชวนสถานประกอบการเป้าหมายที่ยังไม่เข้าระบบจัดการกากอุตสาหกรรมของกรมโรงงานอุตสาหกรรม </t>
  </si>
  <si>
    <t xml:space="preserve"> - รวมรวมข้อมูลโรงงานฯ จากสำนักงานอุตสาหกรรมจังหวัด (75 จังหวัด x 5000 บาท)</t>
  </si>
  <si>
    <t xml:space="preserve">กาจัดทำฐานข้อมูลโรงงานที่เข้าร่วมโครงการของกรมโรงงานอุตสาหกรรม และสำนักงานอุตสาหกรรมจังหวัด </t>
  </si>
  <si>
    <t>อบรมบุคลากรและเจ้าหน้าที่หน่วยงานที่เกี่ยวข้อง เพื่อให้มีความพร้อมในการแนะนำผู้ประกอบกิจการโรงงานให้สามารถปฏิบัติตามประกาศกระทรวงอุตสาหกรรม เรื่อง การกำจัดสิ่งปฏิกูลหรือวัสดุที่ไม่ใช้แล้ว พ.ศ. 2548 อย่างน้อย 100 คน</t>
  </si>
  <si>
    <t xml:space="preserve"> กิจกรรมเชิญชวนสถานประกอบการและรับสมัครโรงงาน</t>
  </si>
  <si>
    <t>กิจกรรมการให้คำปรึกษาและตรวจประเมินสถานประกอบการและโรงงานโดยการลงพื้นที่(ภาคสนาม) (เข้าให้คำปรึกษา 3 ครั้ง และตรวจประเมิน 1 ครั้ง)</t>
  </si>
  <si>
    <t>- ผู้จัดการโครงการ ป.โท  (วศ.ม/วท.ม) ประสบการณ์ 20 ปี (1 คน x 70,000 บาท/เดือน x 6 เดือน)</t>
  </si>
  <si>
    <t>- ผู้เชี่ยวชาญด้านการบริหารจัดการของเสีย ป.โท  (วศ.ม/วท.ม) ประสบการณ์ 7 ปี (2 คน x 50,000 บาท/เดือน x 5 เดือน)</t>
  </si>
  <si>
    <t>- ผู้เชี่ยวชาญด้านกระบวนการผลิต ป.โท (วศ.ม) ประสบการณ์ 7 ปี (1 คน x 50,000 บาท/เดือน x 5 เดือน)</t>
  </si>
  <si>
    <t>- ผู้เชี่ยวชาญด้านพลังงานและสิ่งแวดล้อม ป.โท (วศ.ม) ประสบการณ์ 7 ปี (1 คน x 50,000 บาท/เดือน x 5 เดือน)</t>
  </si>
  <si>
    <t>- ผู้เชี่ยวชาญด้านการใช้เครื่องมือสนับสนุนการทำกิจกรรม 3Rs ป.โท (วศ.ม) ประสบการณ์ 7 ปี (1 คน x 50,000 บาท/เดือน x 5 เดือน)</t>
  </si>
  <si>
    <t>- วิศวกรหรือนักวิทยาศาสตร์สิ่งแวดล้อม ป.ตรี (วศ.บ/วท.บ) ประสบการณ์ 3 ปี (4 คน x 18,000 บาท/เดือน x 6 เดือน)</t>
  </si>
  <si>
    <t>- ผู้ประสานงานโครงการ ป.ตรี (บธ.บ.) ประสบการณ์ 2 ปี (1 คน x 15,000 บาท/เดือน x 8 เดือน)</t>
  </si>
  <si>
    <t>- ผู้จัดการโครงการ ป.โท  (วศ.ม/วท.ม)  ประสบการณ์ 20 ปี (1 คน x 70,000 บาท/เดือน x 6 เดือน)</t>
  </si>
  <si>
    <t>- ผู้เชี่ยวชาญด้านการตรวจประเมินสิ่งแวดล้อ ป.โท  (วศ.ม)  ประสบการณ์ 7 ปี (1 คน x 50,000 บาท/เดือน x 5 เดือน)</t>
  </si>
  <si>
    <t>- ผู้เชี่ยวชาญด้านกระบวนการผลิต ป.โท  (วศ.ม/วท.ม)  ประสบการณ์ 7 ปี (1 คน x 50,000 บาท/เดือน x 5 เดือน)</t>
  </si>
  <si>
    <t>- ผู้เชี่ยวชาญด้านสิ่งแวดล้อม ป.โท  (วศ.ม/วท.ม)  ประสบการณ์ 7 ปี (1 คน x 50,000 บาท/เดือน x 5 เดือน)</t>
  </si>
  <si>
    <t>- วิศวกรหรือนักวิทยาศาสตร์สิ่งแวดล้อม ป.ตรี  (วศ.บ/วท.บ)  ประสบการณ์ 3 ปี (4 คน x 18,000 บาท/เดือน x 6 เดือน)</t>
  </si>
  <si>
    <t>- ผู้จัดการโครงการ ป.โท  (วศ.ม/วท.ม) ประสบการณ์ 20 ปี (1 คน x 90,000 บาท/เดือน x 5 เดือน)</t>
  </si>
  <si>
    <t>- ผู้เชี่ยวชาญด้านระบบฐานข้อมูล ป.โท (วศ.ม/วท.ม) ประสบการณ์ 7 ปี (1 คน x76,000 บาท/เดือน x 6 เดือน)</t>
  </si>
  <si>
    <t>- นักเขียนโปรแกรม ป.โท (วศ.ม/วท.ม) ประสบการณ์ 7 ปี (2 คน x 50,000 บาท/เดือน x 7 เดือน)</t>
  </si>
  <si>
    <t>โครงการปรับปรุงและพัฒนาระบบสารสนเทศการจัดการของเสียอุตสาหกรรมทางสื่ออิเล็กทรอนิกส์</t>
  </si>
  <si>
    <t>- นักวิเคราะห์ระบบ ป.โท  (วศ.ม/วท.ม) ประสบการณ์ 7 ปี (1 คน x 76,000 บาท/เดือน x 5 เดือน)</t>
  </si>
  <si>
    <t>- ผู้ประสานงานโครงการ ป.ตรี  (วศ.บ/วท.บ/บธ.บ) ประสบการณ์ 2 ปี (1 คน x 18,000 บาท/เดือน x 8 เดือน)</t>
  </si>
  <si>
    <t>- เจ้าหน้าที่ธุรการ ป.ตรี (บธ.บ.)  ประสบการณ์ 1 ปี (1 คน x 15,000 บาท/เดือน x 8 เดือน)</t>
  </si>
  <si>
    <t>- ผู้จัดการโครงการ ป.โท (วศ.ม/วท.ม) ประสบการณ์ 20 ปี (1 คน x 80,000 บาท/เดือน x 7 เดือน)</t>
  </si>
  <si>
    <t>- ผู้เชี่ยวชาญด้านเทคนิคการจัดการวิศวกรรมคุณค่า ป.โท (วศ.ม/วท.ม) ประสบการณ์ 7 ปี (2 คน x 60,000 บาท/เดือน x 7 เดือน)</t>
  </si>
  <si>
    <t>- ผู้เชี่ยวชาญด้านเทคโนโลยีสะอาด ป.โท (วศ.ม/วท.ม) ประสบการณ์ 7 ปี (2 คน x 60,000 บาท/เดือน x 7 เดือน)</t>
  </si>
  <si>
    <t>- ผู้เชี่ยวชาญด้านพลังงานและสิงแวดล้อม ป.โท (วศ.ม/วท.ม) ประสบการณ์ 7 ปี (1 คน x 60,000 บาท/เดือน x 7 เดือน)</t>
  </si>
  <si>
    <t>- ผู้เชี่ยวชาญด้านการใช้เครื่องมือสนับสนุนทำกิจกรรม 3Rs ป.โท (วศ.ม/วท.ม) ประสบการณ์ 7 ปี (1 คน x 60,000 บาท/เดือน x 7 เดือน)</t>
  </si>
  <si>
    <t>- วิศวกรหรือนักวิทยาศาสตร์สิ่งแวดล้อม ป.ตรี (วศ.บ/วท.บ) ประสบการณ์ 3 ปี (4 คน x 18,000 บาท/เดือน x 9 เดือน)</t>
  </si>
  <si>
    <t>- ผู้ประสานงานโครงการ ป.ตรี (บธ.บ) ประสบการณ์ 2 ปี (2 คน x 15,000 บาท/เดือน x 9 เดือน)</t>
  </si>
  <si>
    <t xml:space="preserve"> - หัวหน้าโครงการ ปริญญาโท ด้านวิทยาศาสตร์/วิศวกรรมสิ่งแวดล้อม ประสบการณ์ 7 ปี (1 คน x 70,000 บาท/เดือน x 6 เดือน)</t>
  </si>
  <si>
    <t xml:space="preserve"> - ผู้เชี่ยวชาญด้านสิ่งแวดล้อม  ปริญญาโท ด้านวิทยาศาสตร์/วิศวกรรมสิ่งแวดล้อม ประสบการณ์ 7 ปี 
   (1 คน x 70,000 บาท/เดือน x 4 เดือน)</t>
  </si>
  <si>
    <t xml:space="preserve"> - ผู้เชี่ยวชาญอุตสาหกรรมยานยนต์  ปริญญาโท ด้านวิศวกรรม ประสบการณ์ 7 ปี
   (1 คน x 70,000 บาท/เดือน x 4 เดือน)</t>
  </si>
  <si>
    <t xml:space="preserve"> - ผู้เชี่ยวชาญอุตสาหกรรมการพิมพ์ ปริญญาโท ด้านวิศวกรรม ประสบการณ์ 7 ปี
   (1 คน x 70,000 บาท/เดือน x 4 เดือน) (1 คน x 70,000 บาท/เดือน x 4 เดือน)</t>
  </si>
  <si>
    <t xml:space="preserve"> - นักสิ่งแวดล้อม ปริญญาตรี ด้านวิทยาศาสตร์/วิศวกรรมสิ่งแวดล้อม ประสบการณ์ 3 ปี
   (4 คน x 35,000 บาท/เดือน x 8 เดือน) </t>
  </si>
  <si>
    <t xml:space="preserve"> - นักมวลชนสัมพันธ์ วุฒิการศึกษาระดับปริญญาตรี ประสบการณ์ 3 ปี (1 คน x 30,000 บาท/เดือน x 4 เดือน)</t>
  </si>
  <si>
    <t>- ผู้เชี่ยวชาญด้านเศรษฐศาสตร์ ป.โท ด้านเศรษฐศาสตร์ ประสบการณ์ 7 ปี     (1 คน x 31,100 บาท/เดือน x 2.475 x 2 เดือน)</t>
  </si>
  <si>
    <t>- วิศวกร ป.โท ประสบการณ์ 7 ปี (1 คน x 31,100 บาท/เดือน x 2.475 x 4 เดือน)</t>
  </si>
  <si>
    <t>- นักวิทยาศาสตร์ ป.โท ประสบการณ์ 7 ปี (1 คน x 31,100 บาท/เดือน x 2.475 x 4 เดือน)</t>
  </si>
  <si>
    <t xml:space="preserve"> - ค่าเอกสารประกอบการอบรม (20 สถานที่ x 50 คน x 70บาท)</t>
  </si>
  <si>
    <t xml:space="preserve"> - ค่าที่พักเจ้าหน้าที่ (800 บาท x 4 ห้อง x 5 คืนx 20 พื้นที่)</t>
  </si>
  <si>
    <t>3) ค่าเอกสารการถอดบทเรียนของเครือข่าย</t>
  </si>
  <si>
    <t xml:space="preserve"> - ค่าเอกสารประกอบการอบรม (6 สถานที่ x 50 คน x 70บาท)</t>
  </si>
  <si>
    <t xml:space="preserve"> - ค่าจัดทำรายงานผลการยกระดับ (30เล่ม x 240บาท)</t>
  </si>
  <si>
    <t xml:space="preserve">4.5) วิเคราะห์และทบทวน ปรับปรุงแผนควบคุมภาวะฉุกเฉินโรงงาน  (อย่างน้อย 30 โรงงาน) </t>
  </si>
  <si>
    <t xml:space="preserve"> - ค่าจัดทำรายงานผลการปรับปรุง(30เล่ม x 240บาท)</t>
  </si>
  <si>
    <t xml:space="preserve"> - ค่าจัดทำรายงานผลการส่งเสริม(30เล่ม x 240บาท)</t>
  </si>
  <si>
    <t xml:space="preserve">จัดประชุมคณะกรรมการ/คณะทำงานการพัฒนาเมืองอุตสาหกรรมเชิงนิเวศ เพื่อระดมความคิดเห็น </t>
  </si>
  <si>
    <t>2) ฝึกการจัดการกากอุตสาหกรรมและเฝ้าระวังการลักลอบทิ้ง</t>
  </si>
  <si>
    <t xml:space="preserve"> - ค่าที่พักเจ้าหน้าที่ (800 บาท x 2 ห้อง x 5 คืนx 10 สถานที่)</t>
  </si>
  <si>
    <t xml:space="preserve"> - ค่าจัดทำรายงานผลโครงการ(30เล่ม x 240บาท)</t>
  </si>
  <si>
    <t xml:space="preserve"> - ค่าจัดทำรายงานผลการส่งเสริม(150เล่ม x 240บาท)</t>
  </si>
  <si>
    <t xml:space="preserve"> - ค่าอาหารว่าง   (2 มื้อ)  (100 บาท x 240 คน )</t>
  </si>
  <si>
    <t xml:space="preserve"> - ค่าเอกสารประกอบการอบรม (15 สถานที่ x 50 คน x 70บาท)</t>
  </si>
  <si>
    <t xml:space="preserve"> - ค่าจัดทำรายงานผลการทำ recycling complex (75 เล่ม x 240บาท)</t>
  </si>
  <si>
    <t xml:space="preserve">การวางแผน ออกแบบ ปรับปรุง/พัฒนา หรือจัดทำเว็บไซต์ (Website) </t>
  </si>
  <si>
    <t xml:space="preserve"> การรวบรวมข้อมูล เพื่อวิเคราะห์และจัดทำฐานข้อมูลที่เกี่ยวข้องกับการดำเนินงาน จัดทำ/จัดพิมพ์และเผยแพร่เอกสารที่เกี่ยวข้อง</t>
  </si>
  <si>
    <t xml:space="preserve"> - ค่าจัดทำคู่มือการดำเนินงานการพัฒนาเมืองอุตสาหกรรมเชิงนิเวศของเขตพื้นที่ระเบียงเศรษฐกิจภาคตะวันออก (60 เล่ม x 250 บาท)</t>
  </si>
  <si>
    <t>ค่าวิทยากร  (1,200 บาท x 8 คน x  462 ชั่วโมง (วันละ 7 ชม.x 3วัน x 3 ครั้ง x 22 พท.)</t>
  </si>
  <si>
    <t xml:space="preserve">วางแผน ออกแบบ ปรับปรุง/พัฒนา หรือจัดทำเว็บไซต์กลาง การพัฒนาอุตสาหกรรมเชิงนิเวศในพื้นที่อุตสาหกรรมหนาแน่น (จังหวัดสมุทรปราการ สมุทรสาคร นครปฐม และปทุมธานี) </t>
  </si>
  <si>
    <t xml:space="preserve"> - ค่าจัดทำคู่มือ</t>
  </si>
  <si>
    <t>- ค่าจ้างบุคคลลงพื้นที่สำรวจและเก็บข้อมูล (จำนวน 4 คน X วันละ 1000 บาท x 60 วัน)</t>
  </si>
  <si>
    <t>- ค่าวิเคราะห์น้ำเสียและน้ำทิ้ง จำนวน 40 โรงงาน               (โรงงานละ 2 จุด รวมทั้งหมด 80 จุด (80 ตัวอย่าง))</t>
  </si>
  <si>
    <t>- ค่าวิเคราะห์ตัวอย่างน้ำเสียและน้ำทิ้ง (เก็บ 2 จุด ก่อนเข้า-ออก จากระบบบำบัด) รวม 56 ตัวอย่าง</t>
  </si>
  <si>
    <t xml:space="preserve">  - ค่าจัดทำระบบฐานข้อมูลและจัดหาเครื่องมือเชื่อมโยงระบบฐานข้อมูล GIS และข้อมูลผังเมือง</t>
  </si>
  <si>
    <t>การจัดประชุมรับฟังความคิดเห็น/สัมนา/ประชาสัมพันธ์โครงการกับผู้เกี่ยวข้อง (ภาครัฐ  เอกชน และตัวแทนกลุ่มอุตสาหกรรมอุตสาหกรรมเป้าหมาย) จำนวน 5 ครั้งๆละไม่น้อยกว่า 100 คน</t>
  </si>
  <si>
    <t xml:space="preserve">การจัดทำแผนที่แสดงแผนการกำหนดพื้นที่อุตสาหกรรม(Potential Areas) </t>
  </si>
  <si>
    <t xml:space="preserve">กิจกรรมการจัดทำฐานข้อมูลพื้นที่ (Baseline Database)  โดยการลงพื้นที่สำรวจ ศึกษาข้อมูล รวบรวมข้อมูลโครงการ </t>
  </si>
  <si>
    <t>การจัดทำระบบฐานข้อมูลในรูปของระบบสารสนเทศภูมิศาสตร์ที่ตอบสนองต่อผู้ใช้งาน (Interactive Geographic Information System) ที่รองรับการทำงานร่วมกับโปรแกรมระบบสารสนเทศภูมิศาสตร์ พร้อมจัดหาเครื่องมือเพื่อช่วยในการดำเนินงานให้มีประสิทธิภาพที่มีความเชื่อมโยงกับระบบฐานข้อมูล GIS และข้อมูลผังเมือง</t>
  </si>
  <si>
    <t>กิจกรรมการจัดทำฐานข้อมูลน้ำใช้อุตสาหกรรมสำหรับโรงงานอุตสาหกรรมเป้าหมาย จำนวน 38 ประเภท</t>
  </si>
  <si>
    <t>กิจกรรมการศึกษาศักยภาพในการลดปริมาณน้ำในโรงงานอุตสาหกรรม จำนวน 30 โรงงาน</t>
  </si>
  <si>
    <t xml:space="preserve"> - ผู้จัดการโครงการ (วศม. ป.โท ประสบการณ์ 15 ปี 1 คน x 80,000 บาท/เดือน x1.76 x  2 เดือน)</t>
  </si>
  <si>
    <t xml:space="preserve"> - ผู้ช่วยผู้จัดการโครงการ (วศม. ป.โท ประสบการณ์ 10 ปี 1 คน x 50,000 บาท/เดือน x1.76 x  3 เดือน)</t>
  </si>
  <si>
    <t xml:space="preserve"> - ผู้เชี่ยวชาญด้านหม้อน้ำ (วศบ. ป.ตรี ประสบการณ์ 7 ปี 4 คน x 40,000 บาท/เดือน x 1.76 x 5 เดือน)</t>
  </si>
  <si>
    <t xml:space="preserve"> - เจ้าหน้าที่ประสานงานโครงการ (ป.ตรี 1 คน x 15,000 บาท/เดือน x  9 เดือน) </t>
  </si>
  <si>
    <t>ผู้จัดการโครงการ (วศม. ป.โท ประสบการณ์ 15 ปี)</t>
  </si>
  <si>
    <t>ผู้เชี่ยวชาญด้านหม้อน้ำ (วศบ. ป.ตรี ประสบการณ์15 ปี)</t>
  </si>
  <si>
    <t>ผู้เชี่ยวชาญด้านโปรแกรม (วศบ. ป.ตรี ประสบการณ์7 ปี)</t>
  </si>
  <si>
    <t xml:space="preserve">ผู้ประสานงานโครงการ/ผู้สนับสนุนโครงการ (ป.ตรี ) </t>
  </si>
  <si>
    <t>ผู้จัดการโครงการ (ปริญญาโท, ด้านวิศวกรรมศาสตร์/ วิทยาศาสตร์/ อาชีวอนามัย/ ความปลอดภัย ไม่น้อยกว่า 12 ปี จำนวน 1 คน x 75,000 บาท x 3 เดือน)</t>
  </si>
  <si>
    <t>ผู้เชี่ยวชาญด้านการตรวจประเมินและการรับรองระบบการจัดการ  
(ปริญญาโท, ด้านวิศวกรรมศาสตร์/ วิทยาศาสตร์/ อาชีวอนามัย/ ความปลอดภัย ไม่น้อยกว่า 12 ปี จำนวน 1 คน x 70,000 บาท x 3 เดือน)</t>
  </si>
  <si>
    <t>ผู้เชี่ยวชาญด้านความปลอดภัย อีคคีภัย (ปริญญาโท,ด้านวิศวกรรมศาสตร์/ วิทยาศาสตร์/ อาชีวอนามัย/ ความปลอดภัย ไม่น้อยกว่า 5 ปี จำนวน 1 คน x 65,000 บาท x 3 เดือน)</t>
  </si>
  <si>
    <t>ผู้เชี่ยวชาญด้านสารเคมี  (ปริญญาโท, ด้านวิศวกรรมศาสตร์/ วิทยาศาสตร์/ อาชีวอนามัย/ ความปลอดภัยไม่น้อยกว่า 5 ปี จำนวน 1 คน x 65,000 บาท x 3 เดือน)</t>
  </si>
  <si>
    <t>ผู้ประสานงานโครงการ (ปริญญาโท, ด้านวิศวกรรมศาสตร์/ วิทยาศาสตร์/ อาชีวอนามัย/ ความปลอดภัย ไม่น้อยกว่า 5 ปี จำนวน 1 คน x 20,000 บาท x 9 เดือน)</t>
  </si>
  <si>
    <t xml:space="preserve">วิทยากรที่ปรึกษาอบรมมาตรฐานความปลอดภัยเบื้องต้น 
(ปริญญาตรี ด้านวิศวกรรมศาสตร์/ วิทยาศาสตร์/ อาชีวอนามัย/ ความปลอดภัย, ไม่น้อยกว่า 8 ปี) (ชม.ละ 700 บาท x 6 ชั่วโมง) </t>
  </si>
  <si>
    <t>ผู้ประเมิน (Verification) (ปริญญาตรี ด้านวิศวกรรมศาสตร์/ วิทยาศาสตร์/  อาชีวอนามัย/ ความปลอดภัย, ไม่น้อยกว่า 8 ปี) (ชม.ละ 700 บาท x 6 ชั่วโมง)</t>
  </si>
  <si>
    <t>ป.โท/15</t>
  </si>
  <si>
    <t>ป.โท/7</t>
  </si>
  <si>
    <t>ป.ตรี/5</t>
  </si>
  <si>
    <t>ป.ตรี/2</t>
  </si>
  <si>
    <t>ป.ตรี</t>
  </si>
  <si>
    <t>ป.ตรี/3</t>
  </si>
  <si>
    <t>ผู้จัดการโครงการ   ป.โท/15 (1 คน x 3 เดือน x 55,000 บาท/เดือน)</t>
  </si>
  <si>
    <t>เดือน</t>
  </si>
  <si>
    <t>ค่าจ้าง</t>
  </si>
  <si>
    <t>ผู้เชี่ยวชาญด้านสิ่งแวดล้อม ความปลอดภัยและอาชีวอนามัย  ป.โท/7 (1 คน x 3 เดือน x 36,000 บาท/เดือน)</t>
  </si>
  <si>
    <t>ผู้เชี่ยวชาญด้านเศรษฐกิจและสังคม ป.โท/7  (1 คน x 3 เดือน x 36,000 บาท/เดือน)</t>
  </si>
  <si>
    <t>ผู้เชี่ยวชาญด้านสถิติและเทคโนโลยีสารสนเทศ ป.โท/7 (1 คน x 3 เดือน x 36,000 บาท/เดือน)</t>
  </si>
  <si>
    <t>ผู้เชี่ยวชาญด้านการจัดการอุตสาหกรรม ป.โท/7  (1 คน x 3 เดือน x 36,000 บาท/เดือน)</t>
  </si>
  <si>
    <t>ผู้เชี่ยวชาญด้านการวางแผนพัฒนา  ป.โท/7 (1 คน x 3 เดือน x 36,000 บาท/เดือน)</t>
  </si>
  <si>
    <t>ที่ปรึกษาด้านการมีส่วนร่วมของประชาชน   ป.โท/7 (1 คน x 3 เดือน x 36,000 บาท/เดือน)</t>
  </si>
  <si>
    <t>ผู้จัดการด้านการตรวจประเมินและการรับรองระบบ   ป.ตรี/5 (1 คน x 3 เดือน x 30,000 บาท/เดือน)</t>
  </si>
  <si>
    <t>นักวิชาการเศรษฐกิจหรือสังคม   ป.ตรี/5   (1 คน x 3 เดือน x 30,000 บาท/เดือน)</t>
  </si>
  <si>
    <t>วิศวกร/นักวิทยาศาสตร์ด้านสิ่งแวดล้อม  ป.ตรี/2  (1 คน x 3 เดือน x 15,000 บาท/เดือน)</t>
  </si>
  <si>
    <t>เจ้าหน้าที่สนับสนุนโครงการ    ป.ตรี  (1 คน x 3 เดือน x 15,000 บาท/เดือน)</t>
  </si>
  <si>
    <t>ผู้ประสานงานโครงการ    ป.ตรี/3    (1 คน x 3 เดือน x 15,000 บาท/เดือน)</t>
  </si>
  <si>
    <t xml:space="preserve"> - ค่าเอกสารประกอบการอบรม (30 สถานที่ x 50 คน x 70บาท)</t>
  </si>
  <si>
    <t xml:space="preserve">  - ค่าจัดทำรายงานผลการให้ปรึกษา(150เล่ม x 240บาท)</t>
  </si>
  <si>
    <t xml:space="preserve"> - ค่าอาหารว่าง   (2 มื้อ)  (100 บาท x 100 คนx 20 สถานที่ )</t>
  </si>
  <si>
    <t xml:space="preserve"> - ค่าที่พักเจ้าหน้าที่ (800 บาท x 2 ห้อง x 5 คืนx 20 สถานที่)</t>
  </si>
  <si>
    <t xml:space="preserve"> - ค่าจัดทำรายงานผลการพัฒนาระบบ(30เล่ม x 240บาท)</t>
  </si>
  <si>
    <t xml:space="preserve">  - ค่าจัดทำรายงานผลการตรวจประเมิน(30เล่ม x 240บาท)</t>
  </si>
  <si>
    <t xml:space="preserve"> - ค่าอาหารว่าง   (2 มื้อ)  (100 บาท x 100 คนx 10 สถานที่ )</t>
  </si>
  <si>
    <t>15/ปริญญาโท</t>
  </si>
  <si>
    <t>10/ปริญญาโท</t>
  </si>
  <si>
    <t>ปริญญาตรี</t>
  </si>
  <si>
    <t>3/ปริญญาตรี</t>
  </si>
  <si>
    <t>2/ปริญญาตรี</t>
  </si>
  <si>
    <t xml:space="preserve"> - ผู้จัดการโครงการ  15ปี/ปริญญาโท  (1 คน x 70,000 บาท/เดือน x 1 เดือน)</t>
  </si>
  <si>
    <t xml:space="preserve"> - ผู้เชี่ยวชาญด้านการวางแผนพัฒนา 10 ปี/ปริญญาโท  (1 คน x 50,000 บาท/เดือน x 2 เดือน)</t>
  </si>
  <si>
    <t xml:space="preserve"> - ผู้เชี่ยวชาญด้านการจัดการการอุตสาหกรรม 10 ปี/ปริญญาโท  (1 คน x 50,000 บาท/เดือน x 1 เดือน)</t>
  </si>
  <si>
    <t xml:space="preserve"> - ผู้เชี่ยวชาญด้านเศรษฐกิจสังคม 10ปี/ปริญญาโท  (1 คน x 50,000 บาท/เดือน x 1 เดือน)</t>
  </si>
  <si>
    <t xml:space="preserve"> - ผู้ดำเนินงานด้านการมีส่วนร่วมประชาชน  ปริญญาตรี  (2 คน x 30,000 บาท/เดือน x 2 เดือน)</t>
  </si>
  <si>
    <t xml:space="preserve"> - ผู้เชี่ยวชาญด้านสิ่งแวดล้อมและความปลอดภัย  10 ปี/ปริญญาโท  (2 คน x 50,000 บาท/เดือน x 2 เดือน)</t>
  </si>
  <si>
    <t xml:space="preserve"> - วิศวกร/นักวิทยาศาสตร์ด้านสิ่งแวดล้อม  3 ปี/ปริญญาตรี  (5 คน x 30,000 บาท/เดือน x 2 เดือน)</t>
  </si>
  <si>
    <t xml:space="preserve"> - ผู้ประสานงานโครงการ   3 ปี/ปริญญาตรี  (4 คน x 12,000 บาท/เดือน x 8 เดือน)</t>
  </si>
  <si>
    <t xml:space="preserve"> - เจ้าหน้าที่สนับสนุนโครงการ  2 ปี/ปริญญาตรี   (1 คน x 20,000 บาท/เดือน x 1 เดือน)</t>
  </si>
  <si>
    <t>ผู้จัดการโครงการ ป.โท ประสบการณ์อย่างน้อย 15 ปี (1 คน x 60,000 บาท/เดือน x 4 เดือน)</t>
  </si>
  <si>
    <t>ผู้เชี่ยวชาญด้านสิ่งแวดล้อม ความปลอดภัยและอาชีวอนามัย ป.โท ประสบการณ์อย่างน้อย 7 ปี (1 คน x 36,000 บาท/เดือน x 6 เดือน)</t>
  </si>
  <si>
    <t>ผู้เชี่ยวชาญด้านเศรษฐกิจและสังคม ป.โท ประสบการณ์อย่างน้อย 7 ปี (1 คน x 36,000 บาท/เดือน x 6 เดือน)</t>
  </si>
  <si>
    <t>ผู้เชี่ยวชาญด้านสถิติและเทคโนโลยีสารสนเทศ ป.โท ประสบการณ์อย่างน้อย 7 ปี (1 คน x 36,000 บาท/เดือน x 6 เดือน)</t>
  </si>
  <si>
    <t>ผู้เชี่ยวชาญด้านการวางแผนพัฒนา ป.โท ประสบการณ์อย่างน้อย 7 ปี (1 คน x 36,000 บาท/เดือน x 6 เดือน)</t>
  </si>
  <si>
    <t>ที่ปรึกษาด้านการมีส่วนร่วมของประชาชน ป.โท ประสบการณ์อย่างน้อย 7 ปี (1 คน x 36,000 บาท/เดือน x 6 เดือน)</t>
  </si>
  <si>
    <t>ผู้จัดการด้านการตรวจประเมินและการรับรองระบบ ป.ตรี ประสบการณ์อย่างน้อย 5 ปี (1 คน x 30,000 บาท/เดือน x 4 เดือน)</t>
  </si>
  <si>
    <t>นักวิชาการเศรษฐกิจหรือสังคม ป.ตรี ประสบการณ์อย่างน้อย 5 ปี (1 คน x 30,000 บาท/เดือน x 4 เดือน)</t>
  </si>
  <si>
    <t>วิศวกร/นักวิทยาศาสตร์ด้านสิ่งแวดล้อม ป.ตรี ประสบการณ์อย่างน้อย 2 ปี (3 คน x 15,000 บาท/เดือน x 9 เดือน)</t>
  </si>
  <si>
    <t>เจ้าหน้าที่สนับสนุนโครงการ  ป.ตรี (10 คน x 15,000 บาท/เดือน x 9 เดือน)</t>
  </si>
  <si>
    <t>ผู้ประสานงานโครงการ ป.ตรี ประสบการณ์อย่างน้อย 3 ปี (10 คน x 36,000 บาท/15เดือน x 9 เดือน)</t>
  </si>
  <si>
    <t>ป.โท/5</t>
  </si>
  <si>
    <t>ป.โท/2</t>
  </si>
  <si>
    <t>ผู้จัดการโครงการ ป.โท ประสบการณ์อย่างน้อย 15 ปี (1 คน x 55,000 บาท/เดือน x 3 เดือน)</t>
  </si>
  <si>
    <t>ผู้เชี่ยวชาญด้านเศรษฐกิจและสังคม ป.โท ประสบการณ์อย่างน้อย 7 ปี (1 คน x 36,000 บาท/เดือน x 3 เดือน)</t>
  </si>
  <si>
    <t>ผู้เชี่ยวชาญด้านสิ่งแวดล้อม ความปลอดภัยและอาชีวอนามัย ป.โท ประสบการณ์อย่างน้อย 7 ปี (1 คน x 36,000 บาท/เดือน x 3 เดือน)</t>
  </si>
  <si>
    <t>ผู้เชี่ยวชาญด้านสถิติและเทคโนโลยีสารสนเทศ  ป.โท ประสบการณ์อย่างน้อย 7 ปี (1 คน x 36,000 บาท/เดือน x 3 เดือน)</t>
  </si>
  <si>
    <t>ผู้เชี่ยวชาญด้านการจัดการอุตสาหกรรม  ป.โท ประสบการณ์อย่างน้อย 7 ปี (1 คน x 36,000 บาท/เดือน x 3 เดือน)</t>
  </si>
  <si>
    <t>ผู้เชี่ยวชาญด้านการวางแผนพัฒนา ป.โท ประสบการณ์อย่างน้อย 7 ปี (1 คน x 36,000 บาท/เดือน x 3 เดือน)</t>
  </si>
  <si>
    <t>ที่ปรึกษาด้านการมีส่วนร่วมของประชาชน ป.โท ประสบการณ์อย่างน้อย 7 ปี (1 คน x 36,000 บาท/เดือน x 3 เดือน)</t>
  </si>
  <si>
    <t>ผู้จัดการด้านการตรวจประเมินและการรับรองระบบ  ป.โท ประสบการณ์อย่างน้อย 5 ปี (1 คน x 30,000 บาท/เดือน x 3 เดือน)</t>
  </si>
  <si>
    <t>นักวิชาการเศรษฐกิจหรือสังคม ป.โท ประสบการณ์อย่างน้อย 5 ปี (3 คน x 30,000 บาท/เดือน x 4 เดือน)</t>
  </si>
  <si>
    <t>วิศวกร/นักวิทยาศาสตร์ด้านสิ่งแวดล้อม ป.โท ประสบการณ์อย่างน้อย 2 ปี (3 คน x 15,000 บาท/เดือน x 3 เดือน)</t>
  </si>
  <si>
    <t>เจ้าหน้าที่สนับสนุนโครงการ   ป.โท ประสบการณ์อย่างน้อย 2 ปี (4 คน x 15,000 บาท/เดือน x 9 เดือน)</t>
  </si>
  <si>
    <t>ผู้ประสานงานโครงการ  ป.โท ประสบการณ์อย่างน้อย 2 ปี (4 คน x 15,000 บาท/เดือน x 9 เดือน)</t>
  </si>
  <si>
    <t>กิจกรรมการเผยแพร่หลักปฏิบัติและแนวทางการดำเนินการที่ดีในการใช้ประโยชน์กากของเสียแก่ผู้ประกอบการ และสรุปผลการดำเนินโครงการ</t>
  </si>
  <si>
    <t>กิจกรรมการพัฒนาปรับปรุง โปรแกรมการเชื่อมโยงระบบต่างๆที่เกี่ยวข้อง</t>
  </si>
  <si>
    <t>การปรับปรุง Smart form ให้ทันสมัยและรองรับความต้องการของโรงงานและกรมโรงงานอุตสาหกรรม</t>
  </si>
  <si>
    <t xml:space="preserve"> กิจกรรมการสนับสนุน ส่งเสริม ทำความเข้าใจ และช่วยเหลือในการจัดการกากอุตสาหกรรมให้ถูกต้องตามกฎหมาย โดยจัดให้มีเจ้าหน้าที่สนับสนุนโครงการจำนวนที่เหมาะสม ภายใต้ศูนย์ช่วยเหลือ ติดตาม และให้คำปรึกษาโรงงานอุตสาหกรรมที่ขาดการจัดการกากอุตสาหกรรม จำนวนไม่น้อยกว่า 15,000 ราย ครอบคลุมทั้ง 6 ภูมิภาค</t>
  </si>
  <si>
    <t xml:space="preserve">กิจกรรมการพัฒนาแนวทางการดำเนินงานโดยการจัดประชุมหารือร่วมกับกลุ่มงาน/หน่วยงานที่กำกับดูแลในพื้นที่ เป็นระยะๆ เพื่อนำเสนอแนวทางการดำเนินงาน และรับฟังข้อเสนอแนะ จำนวนอย่างน้อย 4 ครั้ง </t>
  </si>
  <si>
    <t>กิจกรรมการสำรวจโรงงานอุตสาหกรรม โดยการลงพื้นที่เพื่อเสนอแนะแนวทางและให้คำปรึกษาในการจัดการกากอุตสาหกรรมให้ถูกต้องตามกฎหมาย และรวบรวมข้อมูลสิ่งปฏิกูลหรือวัสดุที่ไม่ใช้แล้วประเภทต่างๆ จำนวนไม่น้อยกว่า 900 โรงงาน</t>
  </si>
  <si>
    <t>กิจกรรมการบริหารการปฏิบัติงานที่ครอบคลุมทั้ง 6 ภูมิภาค ผ่านศูนย์เครือข่ายประจำภูมิภาค</t>
  </si>
  <si>
    <t>กิจกรรมระดมความคิดเห็นเพื่อพัฒนาแนวทางการพัฒนาระบบการจัดการวัสดุที่ไม่ใช้แล้วรวมถึงระบบฐานข้อมูลการติดตามการขนส่งกากอุตสาหกรรม</t>
  </si>
  <si>
    <t xml:space="preserve"> กิจกรรมการถ่ายทอด/ชี้แจงการใช้งานระบบ</t>
  </si>
  <si>
    <t xml:space="preserve"> - เจ้าหน้าที่เทคนิค (ปวส. ประสบการณ์ 5 ปี 8 คน x 30,000 บาท/เดือน x 1.76 x 5 เดือน)</t>
  </si>
  <si>
    <t>การจัดทำหลักเกณฑ์และแบบฟอร์มการรายงานผลการใช้พลังงานในระบบไอน้ำ</t>
  </si>
  <si>
    <t xml:space="preserve">การแนะนำและให้คำปรึกษา 4 ครั้ง รวมไม่น้อยกว่า 400 คน-วัน </t>
  </si>
  <si>
    <t>การตรวจติดตามประเมินผลการจัดทำรายงาน และคัดเลือกโรงงาน 100 โรงงาน</t>
  </si>
  <si>
    <t>การจัดทำหลักสูตรและคู่มือการเพิ่มประสิทธิภาพหม้อน้ำ</t>
  </si>
  <si>
    <t>ผู้จัดการโครงการ ป.โท 5 ปี (วิศวกรรมศาสตรมหาบัณฑิต หรือ วิทยาศาสตรมหาบัณฑิต 
ด้านเคมี สิ่งแวดล้อม หรือใกล้เคียง) หรือ ป.ตรี 7 ปี (วิศวกรรมศาสตรบัณฑิต หรือ วิทยาศาสตรบัณฑิต 
ด้านเคมี สิ่งแวดล้อมหรือใกล้เคียง) (1 คน x 74,500 บาท x 1 เดือน)</t>
  </si>
  <si>
    <t>ผู้เชี่ยวชาญด้านการวิเคราะห์มลพิษอากาศ ป.โท 5 ปี (วิศวกรรมศาสตรมหาบัณฑิต หรือ วิทยาศาสตรมหาบัณฑิต ด้านเคมี สิ่งแวดล้อม หรือใกล้เคียง) หรือ ป.ตรี 7 ปี (วิศวกรรมศาสตรบัณฑิต หรือ วิทยาศาสตรบัณฑิต ด้านเคมี สิ่งแวดล้อมหรือใกล้เคียง) (1 คน x 74,500 บาท x 1 เดือน) G14(1 คน x 72,500 บาท x 1 เดือน)</t>
  </si>
  <si>
    <t>นักวิทยาศาสตร์ ป.ตรี 2 ปี (วิทยาศาสตรบัณฑิต ด้านเคมี หรือสิ่งแวดล้อม หรือคุณวุฒิ 
ที่สามารถขึ้นทะเบียนเป็นเจ้าหน้าที่ประจำห้องปฏิบัติการวิเคราะห์เอกชนตามระเบียบของกรมโรงงานอุตสาหกรรม) (6 คน x 25,000 บาท x 5 เดือน)</t>
  </si>
  <si>
    <t xml:space="preserve"> - ผู้จัดการโครงการ ป.โท ประสบการณ์ 15 ปี  (มีคุณวุฒิไม่ต่ำกว่าปริญญาโทวิศวกรรมศาสตร์หรือวิทยาศาสตร์ ด้านสิ่งแวดล้อม หรือวิทยาศาสตร์ทั่วไปหรือใกล้เคียง และมีประสบการณ์ที่เกี่ยวข้องกับการบริหารงานโครงการด้านการให้คำปรึกษาด้านการจัดการสิ่งแวดล้อม ประสบการณ์อย่างน้อย 15 ปี) (1 คน x 54,000 บาท/เดือน x 4 เดือน)</t>
  </si>
  <si>
    <t xml:space="preserve"> - ผู้เชี่ยวชาญด้านน้ำ ป.โท ประสบการณ์ 7 ปี  (มีคุณวุฒิไม่ต่ำกว่าปริญญาโทวิศวกรรมศาสตร์ หรือวิทยาศาสตร์ ด้านเคมีหรือสิ่งแวดล้อม หรือใกล้เคียง และมีประสบการณ์การที่เกี่ยวข้องไม่ต่ำกว่า 7 ปี) (1 คน x 36,000 บาท/เดือน x 3 เดือน)</t>
  </si>
  <si>
    <t xml:space="preserve"> - ผู้เชี่ยวชาญด้านอากาศ ป.โท ประสบการณ์ 7 ปี  (มีคุณวุฒิไม่ต่ำกว่าปริญญาโทวิศวกรรมศาสตร์ หรือวิทยาศาสตร์ ด้านเคมีหรือสิ่งแวดล้อมหรือใกล้เคียง และมีประสบการณ์การที่เกี่ยวข้องไม่ต่ำกว่า 7 ปี) (1 คน x 36,000 บาท/เดือน x 3 เดือน)</t>
  </si>
  <si>
    <t xml:space="preserve"> - ผู้ช่วยผู้เชี่ยวชาญด้านกาก ป.โท ประสบการณ์ 7 ปี  (มีคุณวุฒิไม่ต่ำกว่าปริญญาโทวิศวกรรมศาสตร์ หรือวิทยาศาสตร์ ด้านเคมีหรือสิ่งแวดล้อมหรือใกล้เคียง และมีประสบการณ์การที่เกี่ยวข้องไม่ต่ำกว่า 7 ปี) (1 คน x 36,000 บาท/เดือน x 3 เดือน)</t>
  </si>
  <si>
    <t xml:space="preserve"> - วิศวกรหรือนักวิทยาศาสตร์สิ่งแวดล้อม ป.ตรี ประสบการณ์ 3 ปี  (มีคุณวุฒิไม่ต่ำกว่าปริญญาตรีวิศวกรรมศาสตร์ หรือวิทยาศาสตร์ ด้านเคมีหรือสิ่งแวดล้อมหรือใกล้เคียง และมีประสบการณ์การที่เกี่ยวข้องไม่ต่ำกว่า 3 ปี) (2 คน x 20,000 บาท/เดือน x  5 เดือน)</t>
  </si>
  <si>
    <t xml:space="preserve"> - เจ้าหน้าที่ประสานงานโครงการ ป.ตรี ประสบการณ์ 1 ปี  (มีคุณวุฒิไม่ต่ำกว่าปริญญาตรีวิศวกรรมศาสตร์ หรือวิทยาศาสตร์ ด้านเคมีหรือสิ่งแวดล้อมหรือใกล้เคียง และมีประสบการณ์การที่เกี่ยวข้องไม่ต่ำกว่า 1 ปี) (1 คน x 15,000 บาท/เดือน x 6 เดือน) </t>
  </si>
  <si>
    <t xml:space="preserve">กิจกรรมการผลักดันสถานประกอบการเพื่อมุ่งสู่การเป็นอุตสาหกรรมสีเขียวโดยการให้คำแนะนำปรึกษาเชิงลึก จำนวน 500 ราย </t>
  </si>
  <si>
    <t>กิจกรรมการศึกษาและจัดทำหลักเกณฑ์</t>
  </si>
  <si>
    <t>กิจกรรมยกระดับศักยภาพบุคลากรด้านการประเมินความเสี่ยงหม้อน้ำและภาชนะรับแรงดัน  (240 คน-วัน)</t>
  </si>
  <si>
    <t>กิจกรรมที่ 1 การศึกษา รวบรวม วิเคราะห์ข้อมูล ยกร่างแผนแม่บทฯ</t>
  </si>
  <si>
    <t>กิจกรรมที่ 2 เผยแพร่ ระดมความคิดเห็นเกี่ยวกับร่างแผนแม่บทฯ</t>
  </si>
  <si>
    <t>การจัดทำแผนแม่บทฯ จัดพิมพ์ และทำเอกสารรายงาน</t>
  </si>
  <si>
    <t>กิจกรรมที่ 1 การศึกษาและจัดทำหลักเกณฑ์ในการจัดหมวดหมู่สารเคมีที่อยู่ในทำเนียบฯ</t>
  </si>
  <si>
    <t>กิจกรรมที่ 2 การประชุมชี้แจงและรับฟังความคิดเห็น ข้อเสนอแนะ เจ้าหน้าที่ที่เกี่ยวข้องกับทำเนียบข้อมูลวัตถุอันตราย ไม่น้อยกว่า 30 คน 1 วัน</t>
  </si>
  <si>
    <t>กิจกรรมที่ 3 การประชุมชี้แจงบุคลากรจากหน่วยงานที่เกี่ยวข้อง และผู้ประกอบการวัตถุอันตราย ไม่น้อยกว่า 200 คน 1 วัน</t>
  </si>
  <si>
    <t xml:space="preserve"> กิจกรรมที่ 4 การศึกษาเปรียบเทียบระบบบริหารจัดการทำเนียบสารเคมีของประเทศต่างๆ และพัฒนาทำเนียบสารเคมีให้เป็นปัจจุบัน สามารถนำเข้าข้อมูลโดยตรงจากระบบ</t>
  </si>
  <si>
    <r>
      <rPr>
        <b/>
        <u/>
        <sz val="14"/>
        <color theme="1"/>
        <rFont val="TH SarabunPSK"/>
        <family val="2"/>
      </rPr>
      <t>กิจกรรมที่ 1</t>
    </r>
    <r>
      <rPr>
        <b/>
        <sz val="14"/>
        <color theme="1"/>
        <rFont val="TH SarabunPSK"/>
        <family val="2"/>
      </rPr>
      <t xml:space="preserve"> การประชุมคณะกรรมการ/คณะทำงานการพัฒนาเมืองอุตสาหกรรมเชิงนิเวศระดับส่วนกลาง ด้านแผนงานการดำเนินงาน การติดตาม ตรวจสอบ และประเมินผลการพัฒนาเมืองอุตสาหกรรมเชิงนิเวศ 19 จังหวัด 22 พื้นที่ในภาพรวม ตามแผนปฏิบัติการการพัฒนาเมืองอุตสาหกรรมเชิงนิเวศ ประจำปีงบประมาณ พ.ศ. 2561 </t>
    </r>
  </si>
  <si>
    <r>
      <rPr>
        <b/>
        <u/>
        <sz val="14"/>
        <color theme="1"/>
        <rFont val="TH SarabunPSK"/>
        <family val="2"/>
      </rPr>
      <t>กิจกรรมที่ 2 การพัฒนาศูนย์พัฒนาเมืองอุตสาหกรรมเชิงนิเวศ</t>
    </r>
    <r>
      <rPr>
        <b/>
        <sz val="14"/>
        <color theme="1"/>
        <rFont val="TH SarabunPSK"/>
        <family val="2"/>
      </rPr>
      <t xml:space="preserve"> (Eco Industrial town center) (ที่ศูนย์กรมโรงงานอุตสาหกรรม)</t>
    </r>
  </si>
  <si>
    <t>กิจกรรมที่ 4 การประเมินผลความเป็นเมืองอุตสาหกรรมเชิงนิเวศในภาพรวมของ 19 จังหวัด 22 พื้นที่ๆ ละ 3 ครั้งๆ ละ 3 วัน และการสรุปผล</t>
  </si>
  <si>
    <t xml:space="preserve">กิจกรรมที่ 5 จัดกิจกรรมสัมมนาผู้แทนเครือข่าย (Eco Network) 19 จังหวัด 22 พื้นที่ ครั้งละ 3 วัน 2 คืน 80 คน เพื่อแลกเปลี่ยนเรียนรู้และพัฒนาช่องทางการดำเนินงานร่วมกัน           </t>
  </si>
  <si>
    <t>กิจกรรมที่ 6 จัดกิจกรรมเผยแพร่ความรู้ให้แก่สถาบันศึกษาในประเทศ 1 ครั้งๆ ละ 50 คน</t>
  </si>
  <si>
    <t>กิจกรรมที่ 7 การจัดกิจกรรมสรุปผลการดำเนินการพัฒนาเมืองอุตสาหกรรมเชิงนิเวศ 19 จังหวัด 22 พื้นที่ 2 วัน อย่างน้อย 1000 คน</t>
  </si>
  <si>
    <t xml:space="preserve">กิจกรรมที่ 1 การจัดทำกรอบแนวคิด การพัฒนาเมืองอุตสาหกรรมเชิงนิเวศพื้นที่เขตพื้นที่ระเบียงเศรษฐกิจภาคตะวันออก (EEC) (ชลบุรี ระยอง ฉะเชิงเทรา) </t>
  </si>
  <si>
    <t>กิจกรรมที่ 2 การประชุมคณะกรรมการ/คณะทำงานการพัฒนาเมืองอุตสาหกรรมเชิงนิเวศของเขตพื้นที่ระเบียงเศรษฐกิจภาคตะวันออก (EEC) (ชลบุรี ระยอง ฉะเชิงเทรา) เพื่อระดมความคิดเห็น เสนอแนะการพัฒนาแนวทางการดำเนินงาน</t>
  </si>
  <si>
    <t xml:space="preserve">กิจกรรมที่ 3 รับสมัครและคัดเลือกโรงงานอุตสาหกรรมในเขตพื้นที่ระเบียงเศรษฐกิจภาคตะวันออก </t>
  </si>
  <si>
    <t xml:space="preserve"> กิจกรรมที่ 4 ยกระดับเขตพื้นที่ระเบียงเศรษฐกิจภาคตะวันออก (EEC) (ชลบุรี ระยอง ฉะเชิงเทรา)ให้เป็นเมืองอุตสาหกรรมเชิงนิเวศ(ตามแผนปฏิบัติการปี 61)</t>
  </si>
  <si>
    <t xml:space="preserve">  กิจกรรมที่ 5 การประเมินผลความเป็นเมืองอุตสาหกรรมเชิงนิเวศ </t>
  </si>
  <si>
    <t xml:space="preserve">  กิจกรรมที่ 6 จัดตั้งสำนักงานหรือศูนย์พัฒนาเมืองอุตสาหกรรมเชิงนิเวศ เพื่อเป็นศูนย์ต้นแบบของจังหวัด </t>
  </si>
  <si>
    <t xml:space="preserve">  กิจกรรมที่ 7เสริมสร้างความรู้ความเข้าใจและปรับทัศนคติที่ดีแก่อาจารย์ เยาวชน และนักเรียน (Eco-School) ต่อการประกอบกิจการอุตสาหกรรมตามแนวทางอุตสาหกรรมเชิงนิเวศ หลักการจัดการขยะ 3Rs และสร้างเครือข่ายอนุรักษ์ทรัพยากรธรรมชาติและสิ่งแวดล้อม</t>
  </si>
  <si>
    <t xml:space="preserve">กิจกรรมที่ 1 จัดทำกรอบแนวคิด การพัฒนาเมืองอุตสาหกรรมเชิงนิเวศในพื้นที่อุตสาหกรรมหนาแน่น 4 จังหวัด (จังหวัดสมุทรปราการ สมุทรสาคร นครปฐม และปทุมธานี) เพื่อดำเนินโครงการตามแนวทางการพัฒนาตามแผนแม่บทและแผนปฏิบัติการการพัฒนาเมืองอุตสาหกรรมเชิงนิเวศ ในปีงบประมาณ 2561 </t>
  </si>
  <si>
    <t>กิจกรรมที่ 2 การประชุมระดมความคิดเห็นคณะกรรมการ/คณะทำงานการพัฒนาเมืองอุตสาหกรรมเชิงนิเวศในพื้นที่อุตสาหกรรมหนาแน่น 4 จังหวัด (จังหวัดสมุทรปราการ สมุทรสาคร นครปฐม และปทุมธานี) ด้านแผนงานการดำเนินงาน การติดตาม ตรวจสอบ และประเมินผลการพัฒนาอุตสาหกรรมเชิงนิเวศตามแผนปฏิบัติการการพัฒนาเมืองอุตสาหกรรมเชิงนิเวศ ในระยะแรก (5 ปี พ.ศ. 2561 - 2565) อย่างน้อย 2 ครั้ง/จังหวัด</t>
  </si>
  <si>
    <t>กิจกรรมที่ 3 รับสมัครและคัดเลือกโรงงานอุตสาหกรรมในพื้นที่อุตสาหกรรมหนาแน่น 4 จังหวัด (จังหวัดสมุทรปราการ สมุทรสาคร นครปฐม และปทุมธานี) เพื่อยกระดับให้เป็นโรงงานอุตสาหกรรมเชิงนิเวศ</t>
  </si>
  <si>
    <t>กิจกรรมที่ 4 จัดทำศูนย์แลกเปลี่ยนเรียนรู้ (Learning Center) ในพื้นที่อุตสาหกรรมหนาแน่น 4 จังหวัด (จังหวัดสมุทรปราการ สมุทรสาคร นครปฐม และปทุมธานี)</t>
  </si>
  <si>
    <t>กิจกรรมที่ 5 ออกแบบพื้นที่สีเขียวและแนวกันชน รวมทั้งออกแบบโครงสร้างพื้นฐานและระบบสาธารณูปโภคตามแนวคิดอุตสาหกรรมเชิงนิเวศ (Eco Design) และดำเนินการเพิ่มพื้นที่สีเขียวและแนวกันชนในพื้นที่การพัฒนาเมืองอุตสาหกรรมเชิงนิเวศในพื้นที่อุตสาหกรรมหนาแน่น 4 จังหวัด (จังหวัดสมุทรปราการ สมุทรสาคร นครปฐม และปทุมธานี) และพื้นที่ที่เกี่ยวข้อง</t>
  </si>
  <si>
    <t>กิจกรรมที่ 6 ดำเนินการประเมินผลความเป็นเมืองอุตสาหกรรมเชิงนิเวศ ตามขั้นตอน มาตรฐานการตรวจประเมินตัวชี้วัดความเป็นเมืองอุตสาหกรรมเชิงนิเวศในพื้นที่อุตสาหกรรมหนาแน่น 4 จังหวัด (จังหวัดสมุทรปราการ สมุทรสาคร นครปฐม และปทุมธานี)</t>
  </si>
  <si>
    <t>กิจกรรมที่ 7 ดำเนินโครงการในแผนปฏิบัติการฯ ในพื้นที่อุตสาหกรรมหนาแน่น 4 จังหวัด (จังหวัดสมุทรปราการ สมุทรสาคร นครปฐม และปทุมธานี) ปี 2561</t>
  </si>
  <si>
    <t>กิจกรรมที่ 8 ดำเนินการจัดกิจกรรมสร้างความสัมพันธ์เครือข่าย Eco Network เพื่อส่งเสริมให้เกิดความเชื่อมโยงแลกเปลี่ยนเรียนรู้ประสบการณ์แก่กัน</t>
  </si>
  <si>
    <t>กิจกรรมที่ 9 การเสริมสร้างองค์ความรู้ด้านการพัฒนาเมืองอุตสาหกรรมแก่อาจารย์ เยาวชน และนักเรียน (Eco-School) เพื่อสร้างความเข้าใจที่ถูกต้องและมีทัศนคติที่ดีในการพัฒนาภาคอุตสาหกรรม และเพื่อสร้างเครือข่ายอนุรักษ์ทรัพยากรธรรมชาติและสิ่งแวดล้อม</t>
  </si>
  <si>
    <t>กิจกรรมที่ 10 สร้างกระบวนการมีส่วนร่วมของชุมชนในพื้นที่อุตสาหกรรมหนาแน่น 4 จังหวัด โดยการดำเนินการจัดรับฟังความคิดเห็น (จังหวัดสมุทรปราการ สมุทรสาคร นครปฐม และปทุมธานี)</t>
  </si>
  <si>
    <t>กิจกรรมที่ 11 วางแผน ออกแบบ ปรับปรุง/พัฒนา หรือจัดทำเว็บไซต์ เพื่อใช้เป็นฐานข้อมูลแก่ทุกภาคส่วน</t>
  </si>
  <si>
    <t>กิจกรรมที่ 12 การสรุปผลการดำเนินงานการพัฒนาเมืองอุตสาหกรรมเชิงนิเวศในพื้นที่อุตสาหกรรมหนาแน่น โดยจัดนิทรรศการ การออกบูธ ECO โดยระดมความร่วมมือจากทุกภาคส่วน (จังหวัดสมุทรปราการ สมุทรสาคร นครปฐม และปทุมธานี</t>
  </si>
  <si>
    <t>ผู้เชี่ยวชาญด้านการจัดการอุตสาหกรรม ป.โท ประสบการณ์อย่างน้อย 7 ปี (1 คน x 36,000 บาท/เดือน x 6 เดือน)</t>
  </si>
  <si>
    <t>กิจกรรมที่ 1 จัดประชุมคณะกรรมการ/คณะทำงานการพัฒนาเมืองอุตสาหกรรมเชิงนิเวศ 8 จังหวัด</t>
  </si>
  <si>
    <t>กิจกรรมที่ 2 ทบทวนและยกระดับโรงงานอุตสาหกรรมในพื้นที่จังหวัดที่มีศักยภาพในการพัฒนาอุตสาหกรรม 8 จังหวัด</t>
  </si>
  <si>
    <t>กิจกรรมที่ 3 ยกระดับและพัฒนาโรงงานอุตสาหกรรมที่ยังไม่ได้เข้าร่วมกิจกรรมในข้อ 6.3.2 เพื่อมุ่งสู่เมืองอุตสาหกรรมอย่างน้อยระดับที่ 2</t>
  </si>
  <si>
    <t xml:space="preserve">กิจกรรมที่ 4 พัฒนาศูนย์พัฒนาเมืองอุตสาหกรรมเชิงนิเวศของพื้นที่เป้าหมายจังหวัดที่มีศักยภาพการพัฒนาอุตสาหกรรม 8 จังหวัดฯ เพื่อใช้เป้นศูนย์แลกเปลี่ยนเรียนรู้ (Learning Center) </t>
  </si>
  <si>
    <t>กิจกรรมที่ 5 ออกแบบพื้นที่สีเขียวและแนวกันชน รวมทั้งออกแบบโครงสร้างพื้นฐานและระบบสาธารณูปโภคตามแนวคิดอุตสหกรรมสีเขียว (Eco Design) ในพื้นที่เป้าหมาย 8 จัวหวัด</t>
  </si>
  <si>
    <t>กิจกรรมที่ 6 ดำเนินการโครงการตามแผนปฏิบัติการของ 8 จังหวัด ในปีงบประมาณ พ.ศ.2561</t>
  </si>
  <si>
    <t>กิจกรรมที่ 1 จัดประชุมคณะกรรมการ/คณะทำงานการพัฒนาเมืองอุตสาหกรรมเชิงนิเวศ 4 จังหวัด</t>
  </si>
  <si>
    <t>กิจกรรมที่ 2 ศึกษาและรวบรวมข้อมูลโรงงานในพื้นที่เขตพัฒนาเศรษฐกิจของ 4 จังหวัด เพื่อจัดทำฐานข้อมูลในรูปแบบแฟ้มข้อมูล (File) อิเล็กซ์ทรอนิกส์และจัดทำสมดุลมวล (Mass Balance) 3 ครั้ง/ จังหวัด</t>
  </si>
  <si>
    <t>กิจกรรมที่ 3 ส่งเสริมและพัฒนาโรงงานอุตสาหกรรมในพื้นที่เขตพัฒนาเศรษฐกิจพิเศษ 4 จังหวัด</t>
  </si>
  <si>
    <t>กิจกรรมที่ 4 จัดทำศูนย์พัฒนาเมืองอุตสาหกรรมเชิงนิเวศของเศรษฐกิจพิเศษ 4 จังหวัด</t>
  </si>
  <si>
    <t>กิจกรรมที่ 5 ออกแบบพื้นที่สีเขียวเพื่อเป็นพื้นที่แนวกันชน (buffer Zone) รวมทั้งออกแบบโครงสร้างพื้นฐานและระบบสาธารณูปโภคตามแนวคิดอุตสหกรรม</t>
  </si>
  <si>
    <t>กิจกรรมที่ 6 ดำเนินการโครงการในแผนปฏิบ้ติฯการ ปี 2561 ของพื้นที่เศรษฐกิจพิเศษ 4 จังหวัด</t>
  </si>
  <si>
    <t xml:space="preserve">กิจกรรมที่ 1 เชิญชวนให้โรงงานอุตสาหกรรมสมัครเข้าร่วมโครงการ ผ่านเอกสารและสื่ออิเลคทรอนิกส์ </t>
  </si>
  <si>
    <t xml:space="preserve">กิจกรรมที่ 2 การรับสมัครและคัดเลือกโรงงานอุตสาหกรรม </t>
  </si>
  <si>
    <t xml:space="preserve">กิจกรรมที่ 3 การเผยแพร่ความรู้และมาตรฐาน CSR-DIW (Group Training) ให้แก่โรงงานอุตสาหกรรมกลุ่มที่ 1 และ 2 เพื่อเตรียมความพร้อม ให้ความรู้ ความเข้าใจในเกณฑ์มาตรฐานของกรมโรงงานอุตสาหกรรมว่าด้วยการแสดงความรับผิดชอบต่อสังคมของผู้ประกอบการอุตสาหกรรมต่อสังคม </t>
  </si>
  <si>
    <t xml:space="preserve">กิจกรรมที่ 4 ให้คำปรึกษา (Coaching) ให้ความรู้ด้านการดำเนินงานตามเกณฑ์มาตรฐานความรับผิดชอบต่อสังคม ณ สถานประกอบการ ให้โรงงานในกลุ่มที่ 1 และ 2 </t>
  </si>
  <si>
    <t>กิจกรรมที่ 5 การทวนสอบ (Verification) โรงงานในกลุ่มที่ 1 CSR-DIW beginner โรงงานกลุ่มที่ 2 CSR-DIW</t>
  </si>
  <si>
    <t>กิจกรรมที่ 6 จัดให้มีการสรุปผลการทวนสอบของโรงงานอุตสาหกรรมกลุ่มที่ 1 CSR-DIW for beginner และนำเสนอคณะผู้ชำนาญการของกรมโรงงานอุตสาหกรรมให้ความเห็นชอบ เพื่อรับรางวัล CSR-DIW for beginner Award ผลการตัดสินของคณะผู้ชำนาญการถือเป็นที่สิ้นสุด</t>
  </si>
  <si>
    <t>กิจกรรมที่ 7 จัดให้มีการสรุปผลการทวนสอบรายงานของโรงงานอุตสาหกรรมและกลุ่มที่ 2 CSR-DIW และนำเสนอคณะกรรมการของกรมโรงงานอุตสาหกรรมให้ความเห็นชอบ เพื่อรับรางวัล CSR-DIW Award ผลการตัดสินของคณะกรรมการถือเป็นที่สิ้นสุด</t>
  </si>
  <si>
    <t>กิจกรรมที่ 8 สนับสนุนการดำเนินงานของคณะกรรมการบริหารเครือข่าย CSR-DIWจัดให้มีการประชุมคณะกรรมการบริหารเครือข่าย CSR-DIW อย่างน้อยเดือนละ 1 ครั้ง หรือตามที่คณะกรรมการบริหารเครือข่าย CSR-DIW กำหนด</t>
  </si>
  <si>
    <t>กิจกรรมที่ 9 พัฒนาเว็บไซด์ www.csrdiw.com เพื่อรวบรวมข้อมูลและเผยแพร่กิจกรรมของโครงการ รวมถึงกิจกรรมต่างๆ ของสมาชิกเครือข่าย</t>
  </si>
  <si>
    <t>กิจกรรมที่ 10 ศึกษา รวบรวม วิเคราะห์ข้อมูลผลการดำเนินงานโครงการ CSR-DIW ของกรมโรงงานอุตสาหกรรมตั้งแต่ปี 2551 จนถึงปัจจุบัน</t>
  </si>
  <si>
    <t xml:space="preserve">กิจกรรมที่ 11 การจัดงานสรุปผลการดำเนินงาน และมอบรางวัลและเกียรติบัตร แก่โรงงานอุตสาหกรรมในสถานที่ที่มีสิ่งอำนวยความสะดวกอย่างพอเพียง จำนวน 1 ครั้ง ประกอบด้วย CSR-DIW beginner Award และ CSR-DIW Award </t>
  </si>
  <si>
    <r>
      <rPr>
        <b/>
        <sz val="14"/>
        <color rgb="FF000000"/>
        <rFont val="TH SarabunIT๙"/>
        <family val="2"/>
      </rPr>
      <t>กิจกรรมที่ 1</t>
    </r>
    <r>
      <rPr>
        <sz val="14"/>
        <color rgb="FF000000"/>
        <rFont val="TH SarabunIT๙"/>
        <family val="2"/>
      </rPr>
      <t xml:space="preserve"> ทบทวน วิธีการคำนวณ จัดทำแบบข้อมูลกิจกรรม (Activity Data) รูปแบบวิธีการวิเคราะห์ค่าสัมประสิทธิ์การปล่อยก๊าซเรือนกระจกของแต่ละกลุ่มอุตสาหกรรม สอดคล้องกับคู่มือ ๒๐๐๖  </t>
    </r>
  </si>
  <si>
    <r>
      <rPr>
        <b/>
        <sz val="14"/>
        <color rgb="FF000000"/>
        <rFont val="TH SarabunIT๙"/>
        <family val="2"/>
      </rPr>
      <t>กิจกรรมที่ 2</t>
    </r>
    <r>
      <rPr>
        <sz val="14"/>
        <color rgb="FF000000"/>
        <rFont val="TH SarabunIT๙"/>
        <family val="2"/>
      </rPr>
      <t xml:space="preserve"> สำรวจ จัดเก็บข้อมูลการปล่อยก๊าซเรือนกระจกรวมทั้งประเมินศักยภาพการลดก๊าซเรือนกระจก สำหรับกลุ่มอุตสาหกรรมเคมี ๒๕ โรงงาน </t>
    </r>
  </si>
  <si>
    <r>
      <rPr>
        <b/>
        <sz val="14"/>
        <color rgb="FF000000"/>
        <rFont val="TH SarabunIT๙"/>
        <family val="2"/>
      </rPr>
      <t>กิจกรรมที่ 3</t>
    </r>
    <r>
      <rPr>
        <sz val="14"/>
        <color rgb="FF000000"/>
        <rFont val="TH SarabunIT๙"/>
        <family val="2"/>
      </rPr>
      <t xml:space="preserve"> พัฒนารูปแบบและวิธีการจัดเก็บและรวบรวมข้อมูลบัญชีก๊าซเรือนกระจกของหน่วยงานรัฐในการตรวจวัด รายงาน และทวนสอบ (MRV) และสามารถรองรับกับคู่มือ 2006 IPCC Guidelines for National Greenhouse Gas Inventories สำหรับภาคอุตสาหกรรม</t>
    </r>
  </si>
  <si>
    <r>
      <rPr>
        <b/>
        <sz val="14"/>
        <color rgb="FF000000"/>
        <rFont val="TH SarabunIT๙"/>
        <family val="2"/>
      </rPr>
      <t>กิจกรรมที่ 4</t>
    </r>
    <r>
      <rPr>
        <sz val="14"/>
        <color rgb="FF000000"/>
        <rFont val="TH SarabunIT๙"/>
        <family val="2"/>
      </rPr>
      <t xml:space="preserve"> จัดประชุมกลุ่มย่อยในกลุ่มอุตสาหกรรมที่เกี่ยวข้องเพื่อเสนอแนะข้อคิดเห็น แบบข้อมูลกิจกรรม (Activity Data) และรูปแบบวิธีการวิเคราะห์ค่าสัมประสิทธิ์การปล่อยก๊าซเรือนกระจกของกลุ่มอุตสาหกรรมเคมี  จำนวนไม่น้อยกว่า ๔ ครั้ง จำนวนรวมกันไม่น้อยกว่า ๑๐๐ คน</t>
    </r>
  </si>
  <si>
    <t xml:space="preserve"> - ดูแลและบำรุงรักษาระบบ (Maintenance) </t>
  </si>
  <si>
    <r>
      <rPr>
        <b/>
        <sz val="14"/>
        <color rgb="FF000000"/>
        <rFont val="TH SarabunIT๙"/>
        <family val="2"/>
      </rPr>
      <t xml:space="preserve"> กิจกรรมที่ 5</t>
    </r>
    <r>
      <rPr>
        <sz val="14"/>
        <color rgb="FF000000"/>
        <rFont val="TH SarabunIT๙"/>
        <family val="2"/>
      </rPr>
      <t xml:space="preserve"> สัมมนาเผยแพร่ผลการดำเนินโครงการ จำนวน ๒ ครั้ง รวมไม่น้อยกว่า ๒๐๐ คน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</si>
</sst>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0.0"/>
    <numFmt numFmtId="190" formatCode="#,##0_ ;\-#,##0\ "/>
    <numFmt numFmtId="191" formatCode="_-* #,##0.0_-;\-* #,##0.0_-;_-* &quot;-&quot;??_-;_-@_-"/>
    <numFmt numFmtId="192" formatCode="_-* #,##0.0_-;\-* #,##0.0_-;_-* &quot;-&quot;?_-;_-@_-"/>
    <numFmt numFmtId="193" formatCode="#,##0.0"/>
    <numFmt numFmtId="194" formatCode="_(* #,##0.0_);_(* \(#,##0.0\);_(* &quot;-&quot;??_);_(@_)"/>
    <numFmt numFmtId="195" formatCode="_(* #,##0_);_(* \(#,##0\);_(* &quot;-&quot;??_);_(@_)"/>
  </numFmts>
  <fonts count="72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theme="1"/>
      <name val="TH SarabunIT๙"/>
      <family val="2"/>
    </font>
    <font>
      <sz val="16"/>
      <color rgb="FF000000"/>
      <name val="TH SarabunIT๙"/>
      <family val="2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rgb="FF000000"/>
      <name val="TH SarabunPSK"/>
      <family val="2"/>
    </font>
    <font>
      <b/>
      <sz val="12"/>
      <name val="TH SarabunPSK"/>
      <family val="2"/>
    </font>
    <font>
      <sz val="16"/>
      <color rgb="FF000000"/>
      <name val="TH SarabunPSK"/>
      <family val="2"/>
    </font>
    <font>
      <sz val="11"/>
      <color theme="1"/>
      <name val="Calibri"/>
      <family val="2"/>
      <charset val="222"/>
    </font>
    <font>
      <b/>
      <sz val="12"/>
      <color rgb="FF000000"/>
      <name val="TH SarabunPSK"/>
      <family val="2"/>
    </font>
    <font>
      <sz val="12"/>
      <color rgb="FF000000"/>
      <name val="TH SarabunPSK"/>
      <family val="2"/>
    </font>
    <font>
      <u/>
      <sz val="12"/>
      <color rgb="FF000000"/>
      <name val="TH SarabunPSK"/>
      <family val="2"/>
    </font>
    <font>
      <sz val="12"/>
      <name val="TH SarabunPSK"/>
      <family val="2"/>
    </font>
    <font>
      <sz val="11"/>
      <name val="Calibri"/>
      <family val="2"/>
      <charset val="222"/>
    </font>
    <font>
      <b/>
      <u/>
      <sz val="12"/>
      <color rgb="FF000000"/>
      <name val="TH SarabunPSK"/>
      <family val="2"/>
    </font>
    <font>
      <sz val="11"/>
      <color rgb="FF000000"/>
      <name val="TH SarabunPSK"/>
      <family val="2"/>
    </font>
    <font>
      <b/>
      <u/>
      <sz val="12"/>
      <name val="TH SarabunPSK"/>
      <family val="2"/>
    </font>
    <font>
      <sz val="14"/>
      <color rgb="FF000000"/>
      <name val="TH SarabunIT๙"/>
      <family val="2"/>
    </font>
    <font>
      <b/>
      <sz val="16"/>
      <color rgb="FF000000"/>
      <name val="TH SarabunIT๙"/>
      <family val="2"/>
    </font>
    <font>
      <sz val="16"/>
      <name val="TH SarabunPSK"/>
      <family val="2"/>
    </font>
    <font>
      <b/>
      <sz val="11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14"/>
      <color rgb="FF000000"/>
      <name val="TH SarabunPSK"/>
      <family val="2"/>
    </font>
    <font>
      <b/>
      <i/>
      <sz val="14"/>
      <name val="TH SarabunPSK"/>
      <family val="2"/>
    </font>
    <font>
      <sz val="14"/>
      <name val="AngsanaUPC"/>
      <family val="1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u val="doubleAccounting"/>
      <sz val="14"/>
      <color theme="1"/>
      <name val="TH SarabunPSK"/>
      <family val="2"/>
    </font>
    <font>
      <b/>
      <u val="double"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u/>
      <sz val="14"/>
      <color theme="1"/>
      <name val="TH SarabunPSK"/>
      <family val="2"/>
    </font>
    <font>
      <b/>
      <sz val="13.5"/>
      <color theme="1"/>
      <name val="TH SarabunPSK"/>
      <family val="2"/>
    </font>
    <font>
      <b/>
      <u val="singleAccounting"/>
      <sz val="14"/>
      <color theme="1"/>
      <name val="TH SarabunPSK"/>
      <family val="2"/>
    </font>
    <font>
      <u val="double"/>
      <sz val="14"/>
      <color theme="1"/>
      <name val="TH SarabunPSK"/>
      <family val="2"/>
    </font>
    <font>
      <b/>
      <i/>
      <sz val="14"/>
      <color theme="1"/>
      <name val="TH SarabunPSK"/>
      <family val="2"/>
    </font>
    <font>
      <u val="singleAccounting"/>
      <sz val="14"/>
      <color theme="1"/>
      <name val="TH SarabunPSK"/>
      <family val="2"/>
    </font>
    <font>
      <u val="doubleAccounting"/>
      <sz val="14"/>
      <color theme="1"/>
      <name val="TH SarabunPSK"/>
      <family val="2"/>
    </font>
    <font>
      <b/>
      <i/>
      <sz val="16"/>
      <color rgb="FF000000"/>
      <name val="TH SarabunIT๙"/>
      <family val="2"/>
    </font>
    <font>
      <sz val="12"/>
      <color theme="0"/>
      <name val="TH SarabunPSK"/>
      <family val="2"/>
    </font>
    <font>
      <b/>
      <sz val="11"/>
      <name val="TH SarabunPSK"/>
      <family val="2"/>
    </font>
    <font>
      <b/>
      <sz val="16"/>
      <color rgb="FFC00000"/>
      <name val="TH SarabunPSK"/>
      <family val="2"/>
    </font>
    <font>
      <sz val="12"/>
      <color rgb="FFC00000"/>
      <name val="TH SarabunPSK"/>
      <family val="2"/>
    </font>
    <font>
      <b/>
      <sz val="16"/>
      <color theme="0"/>
      <name val="TH SarabunPSK"/>
      <family val="2"/>
    </font>
    <font>
      <b/>
      <sz val="12"/>
      <color theme="0"/>
      <name val="TH SarabunPSK"/>
      <family val="2"/>
    </font>
    <font>
      <u/>
      <sz val="14"/>
      <color rgb="FF000000"/>
      <name val="TH SarabunPSK"/>
      <family val="2"/>
    </font>
    <font>
      <sz val="14"/>
      <color rgb="FFFF0000"/>
      <name val="TH SarabunPSK"/>
      <family val="2"/>
    </font>
    <font>
      <b/>
      <i/>
      <sz val="14"/>
      <color rgb="FF000000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b/>
      <u/>
      <sz val="16"/>
      <color rgb="FF000000"/>
      <name val="TH SarabunPSK"/>
      <family val="2"/>
    </font>
    <font>
      <sz val="7"/>
      <color rgb="FF000000"/>
      <name val="TH SarabunPSK"/>
      <family val="2"/>
    </font>
    <font>
      <b/>
      <i/>
      <sz val="16"/>
      <name val="TH SarabunPSK"/>
      <family val="2"/>
    </font>
    <font>
      <sz val="16"/>
      <color theme="1"/>
      <name val="TH SarabunPSK"/>
      <family val="2"/>
    </font>
    <font>
      <sz val="11"/>
      <name val="TH SarabunPSK"/>
      <family val="2"/>
    </font>
    <font>
      <b/>
      <u val="singleAccounting"/>
      <sz val="14"/>
      <name val="TH SarabunPSK"/>
      <family val="2"/>
    </font>
    <font>
      <b/>
      <u val="double"/>
      <sz val="14"/>
      <name val="TH SarabunPSK"/>
      <family val="2"/>
    </font>
    <font>
      <sz val="11"/>
      <color theme="0"/>
      <name val="TH SarabunPSK"/>
      <family val="2"/>
    </font>
    <font>
      <sz val="14"/>
      <color theme="0"/>
      <name val="TH SarabunPSK"/>
      <family val="2"/>
    </font>
    <font>
      <sz val="14"/>
      <color theme="0"/>
      <name val="TH SarabunIT๙"/>
      <family val="2"/>
    </font>
    <font>
      <sz val="10"/>
      <color theme="0"/>
      <name val="TH SarabunPSK"/>
      <family val="2"/>
    </font>
    <font>
      <b/>
      <sz val="14"/>
      <color theme="0"/>
      <name val="TH SarabunPSK"/>
      <family val="2"/>
    </font>
    <font>
      <b/>
      <sz val="14"/>
      <color rgb="FF000000"/>
      <name val="TH SarabunIT๙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69696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EECE1"/>
        <bgColor rgb="FF000000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5">
    <xf numFmtId="0" fontId="0" fillId="0" borderId="0"/>
    <xf numFmtId="0" fontId="4" fillId="0" borderId="0"/>
    <xf numFmtId="187" fontId="5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187" fontId="8" fillId="0" borderId="0" applyFont="0" applyFill="0" applyBorder="0" applyAlignment="0" applyProtection="0"/>
    <xf numFmtId="0" fontId="1" fillId="0" borderId="0"/>
    <xf numFmtId="187" fontId="5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</cellStyleXfs>
  <cellXfs count="1489">
    <xf numFmtId="0" fontId="0" fillId="0" borderId="0" xfId="0"/>
    <xf numFmtId="0" fontId="10" fillId="0" borderId="0" xfId="0" applyFont="1" applyFill="1" applyBorder="1"/>
    <xf numFmtId="0" fontId="11" fillId="0" borderId="28" xfId="0" applyFont="1" applyFill="1" applyBorder="1" applyAlignment="1">
      <alignment horizontal="left"/>
    </xf>
    <xf numFmtId="0" fontId="11" fillId="0" borderId="28" xfId="0" applyNumberFormat="1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left"/>
    </xf>
    <xf numFmtId="0" fontId="10" fillId="0" borderId="28" xfId="0" applyFont="1" applyFill="1" applyBorder="1" applyAlignment="1">
      <alignment horizontal="center"/>
    </xf>
    <xf numFmtId="0" fontId="10" fillId="0" borderId="28" xfId="0" applyNumberFormat="1" applyFont="1" applyFill="1" applyBorder="1" applyAlignment="1">
      <alignment horizontal="center"/>
    </xf>
    <xf numFmtId="188" fontId="10" fillId="0" borderId="28" xfId="9" applyNumberFormat="1" applyFont="1" applyFill="1" applyBorder="1" applyAlignment="1">
      <alignment horizontal="right"/>
    </xf>
    <xf numFmtId="188" fontId="10" fillId="0" borderId="0" xfId="0" applyNumberFormat="1" applyFont="1" applyFill="1" applyBorder="1"/>
    <xf numFmtId="0" fontId="10" fillId="0" borderId="28" xfId="0" applyFont="1" applyFill="1" applyBorder="1" applyAlignment="1">
      <alignment horizontal="left" wrapText="1"/>
    </xf>
    <xf numFmtId="0" fontId="12" fillId="0" borderId="0" xfId="0" applyFont="1" applyFill="1" applyBorder="1"/>
    <xf numFmtId="0" fontId="12" fillId="0" borderId="28" xfId="0" applyFont="1" applyFill="1" applyBorder="1"/>
    <xf numFmtId="0" fontId="12" fillId="0" borderId="28" xfId="0" applyFont="1" applyFill="1" applyBorder="1" applyAlignment="1">
      <alignment wrapText="1"/>
    </xf>
    <xf numFmtId="3" fontId="10" fillId="0" borderId="28" xfId="0" applyNumberFormat="1" applyFont="1" applyFill="1" applyBorder="1" applyAlignment="1">
      <alignment horizontal="center"/>
    </xf>
    <xf numFmtId="188" fontId="10" fillId="0" borderId="0" xfId="9" applyNumberFormat="1" applyFont="1" applyFill="1" applyBorder="1"/>
    <xf numFmtId="188" fontId="9" fillId="0" borderId="28" xfId="9" applyNumberFormat="1" applyFont="1" applyFill="1" applyBorder="1" applyAlignment="1">
      <alignment horizontal="right"/>
    </xf>
    <xf numFmtId="49" fontId="10" fillId="0" borderId="28" xfId="0" applyNumberFormat="1" applyFont="1" applyFill="1" applyBorder="1" applyAlignment="1">
      <alignment horizontal="left"/>
    </xf>
    <xf numFmtId="190" fontId="9" fillId="0" borderId="28" xfId="9" applyNumberFormat="1" applyFont="1" applyFill="1" applyBorder="1" applyAlignment="1">
      <alignment horizontal="right"/>
    </xf>
    <xf numFmtId="0" fontId="10" fillId="0" borderId="29" xfId="0" applyNumberFormat="1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3" fontId="10" fillId="0" borderId="29" xfId="0" applyNumberFormat="1" applyFont="1" applyFill="1" applyBorder="1" applyAlignment="1">
      <alignment horizontal="center"/>
    </xf>
    <xf numFmtId="49" fontId="10" fillId="0" borderId="20" xfId="0" applyNumberFormat="1" applyFont="1" applyFill="1" applyBorder="1"/>
    <xf numFmtId="0" fontId="10" fillId="0" borderId="28" xfId="0" applyNumberFormat="1" applyFont="1" applyFill="1" applyBorder="1" applyAlignment="1">
      <alignment horizontal="center" vertical="top" wrapText="1"/>
    </xf>
    <xf numFmtId="0" fontId="10" fillId="0" borderId="28" xfId="0" applyFont="1" applyFill="1" applyBorder="1" applyAlignment="1">
      <alignment horizontal="center" vertical="top" wrapText="1"/>
    </xf>
    <xf numFmtId="0" fontId="10" fillId="0" borderId="22" xfId="0" applyFont="1" applyFill="1" applyBorder="1" applyAlignment="1">
      <alignment horizontal="center"/>
    </xf>
    <xf numFmtId="188" fontId="10" fillId="0" borderId="0" xfId="9" applyNumberFormat="1" applyFont="1" applyFill="1" applyBorder="1" applyAlignment="1">
      <alignment horizontal="right"/>
    </xf>
    <xf numFmtId="49" fontId="11" fillId="0" borderId="20" xfId="0" applyNumberFormat="1" applyFont="1" applyFill="1" applyBorder="1"/>
    <xf numFmtId="3" fontId="13" fillId="0" borderId="0" xfId="0" applyNumberFormat="1" applyFont="1" applyFill="1" applyBorder="1"/>
    <xf numFmtId="188" fontId="11" fillId="0" borderId="28" xfId="9" applyNumberFormat="1" applyFont="1" applyFill="1" applyBorder="1" applyAlignment="1">
      <alignment horizontal="left"/>
    </xf>
    <xf numFmtId="3" fontId="10" fillId="0" borderId="0" xfId="0" applyNumberFormat="1" applyFont="1" applyFill="1" applyBorder="1"/>
    <xf numFmtId="187" fontId="10" fillId="0" borderId="0" xfId="9" applyNumberFormat="1" applyFont="1" applyFill="1" applyBorder="1"/>
    <xf numFmtId="0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9" applyNumberFormat="1" applyFont="1" applyFill="1" applyBorder="1" applyAlignment="1">
      <alignment horizontal="center"/>
    </xf>
    <xf numFmtId="0" fontId="15" fillId="0" borderId="0" xfId="0" applyFont="1" applyFill="1" applyBorder="1"/>
    <xf numFmtId="0" fontId="16" fillId="0" borderId="18" xfId="0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left"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left" vertical="center"/>
    </xf>
    <xf numFmtId="2" fontId="17" fillId="0" borderId="0" xfId="0" applyNumberFormat="1" applyFont="1" applyFill="1" applyBorder="1" applyAlignment="1">
      <alignment horizontal="left" vertical="center"/>
    </xf>
    <xf numFmtId="49" fontId="17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top"/>
    </xf>
    <xf numFmtId="49" fontId="19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/>
    </xf>
    <xf numFmtId="0" fontId="17" fillId="0" borderId="0" xfId="0" applyFont="1" applyFill="1" applyBorder="1"/>
    <xf numFmtId="49" fontId="16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/>
    </xf>
    <xf numFmtId="3" fontId="17" fillId="0" borderId="0" xfId="0" applyNumberFormat="1" applyFont="1" applyFill="1" applyBorder="1"/>
    <xf numFmtId="3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5" fillId="0" borderId="18" xfId="0" applyFont="1" applyFill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5" fillId="0" borderId="32" xfId="0" applyFont="1" applyFill="1" applyBorder="1" applyAlignment="1">
      <alignment horizontal="center"/>
    </xf>
    <xf numFmtId="49" fontId="14" fillId="0" borderId="26" xfId="0" applyNumberFormat="1" applyFont="1" applyFill="1" applyBorder="1" applyAlignment="1">
      <alignment horizontal="left" vertical="center"/>
    </xf>
    <xf numFmtId="0" fontId="15" fillId="0" borderId="26" xfId="0" applyFont="1" applyFill="1" applyBorder="1"/>
    <xf numFmtId="0" fontId="15" fillId="0" borderId="27" xfId="0" applyFont="1" applyFill="1" applyBorder="1"/>
    <xf numFmtId="0" fontId="16" fillId="0" borderId="23" xfId="0" applyFont="1" applyFill="1" applyBorder="1" applyAlignment="1">
      <alignment horizontal="center"/>
    </xf>
    <xf numFmtId="0" fontId="16" fillId="0" borderId="24" xfId="0" applyFont="1" applyFill="1" applyBorder="1"/>
    <xf numFmtId="0" fontId="16" fillId="0" borderId="25" xfId="0" applyFont="1" applyFill="1" applyBorder="1"/>
    <xf numFmtId="0" fontId="16" fillId="0" borderId="0" xfId="0" applyFont="1" applyFill="1" applyBorder="1"/>
    <xf numFmtId="49" fontId="16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/>
    </xf>
    <xf numFmtId="49" fontId="17" fillId="0" borderId="26" xfId="0" applyNumberFormat="1" applyFont="1" applyFill="1" applyBorder="1" applyAlignment="1">
      <alignment horizontal="left" vertical="center"/>
    </xf>
    <xf numFmtId="0" fontId="17" fillId="0" borderId="26" xfId="0" applyFont="1" applyFill="1" applyBorder="1"/>
    <xf numFmtId="0" fontId="17" fillId="0" borderId="27" xfId="0" applyFont="1" applyFill="1" applyBorder="1"/>
    <xf numFmtId="0" fontId="18" fillId="0" borderId="0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/>
    <xf numFmtId="0" fontId="17" fillId="0" borderId="32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vertical="center"/>
    </xf>
    <xf numFmtId="0" fontId="17" fillId="0" borderId="27" xfId="0" applyFont="1" applyFill="1" applyBorder="1" applyAlignment="1">
      <alignment vertical="center"/>
    </xf>
    <xf numFmtId="0" fontId="21" fillId="0" borderId="0" xfId="0" applyFont="1" applyFill="1" applyBorder="1"/>
    <xf numFmtId="187" fontId="21" fillId="0" borderId="0" xfId="9" applyNumberFormat="1" applyFont="1" applyFill="1" applyBorder="1"/>
    <xf numFmtId="187" fontId="22" fillId="0" borderId="0" xfId="9" applyNumberFormat="1" applyFont="1" applyFill="1" applyBorder="1"/>
    <xf numFmtId="0" fontId="15" fillId="0" borderId="24" xfId="0" applyFont="1" applyFill="1" applyBorder="1"/>
    <xf numFmtId="0" fontId="16" fillId="0" borderId="23" xfId="0" applyFont="1" applyFill="1" applyBorder="1" applyAlignment="1">
      <alignment horizontal="center" vertical="center"/>
    </xf>
    <xf numFmtId="49" fontId="16" fillId="0" borderId="24" xfId="0" applyNumberFormat="1" applyFont="1" applyFill="1" applyBorder="1" applyAlignment="1">
      <alignment horizontal="left" vertical="center"/>
    </xf>
    <xf numFmtId="49" fontId="17" fillId="0" borderId="24" xfId="0" applyNumberFormat="1" applyFont="1" applyFill="1" applyBorder="1" applyAlignment="1">
      <alignment horizontal="left" vertical="center"/>
    </xf>
    <xf numFmtId="0" fontId="17" fillId="0" borderId="24" xfId="0" applyFont="1" applyFill="1" applyBorder="1" applyAlignment="1">
      <alignment vertical="center"/>
    </xf>
    <xf numFmtId="0" fontId="17" fillId="0" borderId="25" xfId="0" applyFont="1" applyFill="1" applyBorder="1" applyAlignment="1">
      <alignment vertical="center"/>
    </xf>
    <xf numFmtId="187" fontId="23" fillId="0" borderId="0" xfId="9" applyNumberFormat="1" applyFont="1" applyFill="1" applyBorder="1"/>
    <xf numFmtId="0" fontId="10" fillId="0" borderId="0" xfId="1" applyFont="1" applyFill="1" applyBorder="1"/>
    <xf numFmtId="0" fontId="11" fillId="2" borderId="1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1" fillId="0" borderId="0" xfId="1" applyFont="1" applyFill="1" applyBorder="1"/>
    <xf numFmtId="0" fontId="10" fillId="0" borderId="4" xfId="1" applyFont="1" applyFill="1" applyBorder="1" applyAlignment="1">
      <alignment horizontal="center" vertical="top" wrapText="1"/>
    </xf>
    <xf numFmtId="0" fontId="10" fillId="0" borderId="4" xfId="1" applyFont="1" applyFill="1" applyBorder="1" applyAlignment="1">
      <alignment horizontal="left" vertical="top" wrapText="1"/>
    </xf>
    <xf numFmtId="3" fontId="10" fillId="0" borderId="4" xfId="1" applyNumberFormat="1" applyFont="1" applyFill="1" applyBorder="1" applyAlignment="1">
      <alignment horizontal="right" vertical="top" wrapText="1"/>
    </xf>
    <xf numFmtId="0" fontId="10" fillId="0" borderId="0" xfId="1" applyFont="1" applyFill="1" applyBorder="1" applyAlignment="1">
      <alignment vertical="top" wrapText="1"/>
    </xf>
    <xf numFmtId="0" fontId="22" fillId="0" borderId="5" xfId="0" applyFont="1" applyFill="1" applyBorder="1"/>
    <xf numFmtId="0" fontId="14" fillId="0" borderId="5" xfId="0" applyFont="1" applyFill="1" applyBorder="1" applyAlignment="1">
      <alignment vertical="center"/>
    </xf>
    <xf numFmtId="3" fontId="14" fillId="0" borderId="5" xfId="0" applyNumberFormat="1" applyFont="1" applyFill="1" applyBorder="1" applyAlignment="1">
      <alignment vertical="center"/>
    </xf>
    <xf numFmtId="0" fontId="22" fillId="0" borderId="0" xfId="0" applyFont="1" applyFill="1" applyBorder="1"/>
    <xf numFmtId="0" fontId="11" fillId="0" borderId="0" xfId="1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 wrapText="1"/>
    </xf>
    <xf numFmtId="0" fontId="10" fillId="0" borderId="5" xfId="1" applyFont="1" applyFill="1" applyBorder="1" applyAlignment="1">
      <alignment horizontal="center" vertical="top" wrapText="1"/>
    </xf>
    <xf numFmtId="0" fontId="26" fillId="2" borderId="5" xfId="1" applyFont="1" applyFill="1" applyBorder="1" applyAlignment="1">
      <alignment horizontal="left" vertical="top" wrapText="1"/>
    </xf>
    <xf numFmtId="0" fontId="10" fillId="0" borderId="5" xfId="1" applyFont="1" applyFill="1" applyBorder="1" applyAlignment="1">
      <alignment horizontal="left" vertical="top" wrapText="1"/>
    </xf>
    <xf numFmtId="3" fontId="10" fillId="0" borderId="5" xfId="1" applyNumberFormat="1" applyFont="1" applyFill="1" applyBorder="1" applyAlignment="1">
      <alignment horizontal="center" vertical="top" wrapText="1"/>
    </xf>
    <xf numFmtId="3" fontId="10" fillId="0" borderId="0" xfId="1" applyNumberFormat="1" applyFont="1" applyFill="1" applyBorder="1" applyAlignment="1">
      <alignment vertical="top" wrapText="1"/>
    </xf>
    <xf numFmtId="3" fontId="10" fillId="0" borderId="5" xfId="1" applyNumberFormat="1" applyFont="1" applyFill="1" applyBorder="1" applyAlignment="1">
      <alignment vertical="top" wrapText="1"/>
    </xf>
    <xf numFmtId="0" fontId="26" fillId="0" borderId="5" xfId="1" applyFont="1" applyFill="1" applyBorder="1" applyAlignment="1">
      <alignment horizontal="left" vertical="top" wrapText="1"/>
    </xf>
    <xf numFmtId="3" fontId="26" fillId="0" borderId="5" xfId="1" applyNumberFormat="1" applyFont="1" applyFill="1" applyBorder="1" applyAlignment="1">
      <alignment horizontal="right" vertical="top" wrapText="1"/>
    </xf>
    <xf numFmtId="0" fontId="11" fillId="2" borderId="3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top" wrapText="1"/>
    </xf>
    <xf numFmtId="0" fontId="11" fillId="0" borderId="5" xfId="1" applyFont="1" applyFill="1" applyBorder="1" applyAlignment="1">
      <alignment horizontal="left" vertical="top" wrapText="1"/>
    </xf>
    <xf numFmtId="3" fontId="9" fillId="0" borderId="5" xfId="1" applyNumberFormat="1" applyFont="1" applyFill="1" applyBorder="1" applyAlignment="1">
      <alignment horizontal="right" vertical="top" wrapText="1"/>
    </xf>
    <xf numFmtId="0" fontId="27" fillId="0" borderId="5" xfId="0" applyFont="1" applyFill="1" applyBorder="1"/>
    <xf numFmtId="0" fontId="28" fillId="0" borderId="5" xfId="0" applyFont="1" applyFill="1" applyBorder="1" applyAlignment="1">
      <alignment vertical="center"/>
    </xf>
    <xf numFmtId="3" fontId="28" fillId="0" borderId="5" xfId="0" applyNumberFormat="1" applyFont="1" applyFill="1" applyBorder="1" applyAlignment="1">
      <alignment vertical="center"/>
    </xf>
    <xf numFmtId="0" fontId="27" fillId="0" borderId="0" xfId="0" applyFont="1" applyFill="1" applyBorder="1"/>
    <xf numFmtId="0" fontId="11" fillId="2" borderId="1" xfId="1" applyFont="1" applyFill="1" applyBorder="1" applyAlignment="1">
      <alignment horizontal="center" vertical="center"/>
    </xf>
    <xf numFmtId="0" fontId="22" fillId="0" borderId="4" xfId="0" applyFont="1" applyFill="1" applyBorder="1"/>
    <xf numFmtId="0" fontId="10" fillId="0" borderId="33" xfId="1" applyFont="1" applyFill="1" applyBorder="1" applyAlignment="1">
      <alignment horizontal="center" vertical="top" wrapText="1"/>
    </xf>
    <xf numFmtId="0" fontId="29" fillId="0" borderId="5" xfId="0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/>
    </xf>
    <xf numFmtId="0" fontId="11" fillId="2" borderId="8" xfId="1" applyFont="1" applyFill="1" applyBorder="1" applyAlignment="1">
      <alignment horizontal="right"/>
    </xf>
    <xf numFmtId="187" fontId="9" fillId="2" borderId="9" xfId="1" applyNumberFormat="1" applyFont="1" applyFill="1" applyBorder="1" applyAlignment="1"/>
    <xf numFmtId="0" fontId="11" fillId="2" borderId="10" xfId="1" applyFont="1" applyFill="1" applyBorder="1" applyAlignment="1">
      <alignment horizontal="center"/>
    </xf>
    <xf numFmtId="0" fontId="30" fillId="2" borderId="11" xfId="1" applyFont="1" applyFill="1" applyBorder="1" applyAlignment="1">
      <alignment horizontal="right"/>
    </xf>
    <xf numFmtId="0" fontId="30" fillId="2" borderId="12" xfId="1" applyFont="1" applyFill="1" applyBorder="1" applyAlignment="1"/>
    <xf numFmtId="0" fontId="11" fillId="2" borderId="13" xfId="1" applyFont="1" applyFill="1" applyBorder="1" applyAlignment="1">
      <alignment horizontal="center"/>
    </xf>
    <xf numFmtId="0" fontId="10" fillId="2" borderId="14" xfId="1" applyFont="1" applyFill="1" applyBorder="1"/>
    <xf numFmtId="0" fontId="10" fillId="2" borderId="15" xfId="1" applyFont="1" applyFill="1" applyBorder="1" applyAlignment="1"/>
    <xf numFmtId="187" fontId="10" fillId="0" borderId="0" xfId="1" applyNumberFormat="1" applyFont="1" applyFill="1" applyBorder="1" applyAlignment="1"/>
    <xf numFmtId="0" fontId="10" fillId="0" borderId="0" xfId="1" applyFont="1" applyFill="1" applyBorder="1" applyAlignment="1"/>
    <xf numFmtId="0" fontId="11" fillId="0" borderId="44" xfId="1" applyFont="1" applyFill="1" applyBorder="1" applyAlignment="1">
      <alignment horizontal="center"/>
    </xf>
    <xf numFmtId="0" fontId="30" fillId="0" borderId="39" xfId="1" applyFont="1" applyFill="1" applyBorder="1" applyAlignment="1">
      <alignment horizontal="right"/>
    </xf>
    <xf numFmtId="0" fontId="30" fillId="0" borderId="45" xfId="1" applyFont="1" applyFill="1" applyBorder="1" applyAlignment="1"/>
    <xf numFmtId="0" fontId="11" fillId="0" borderId="13" xfId="1" applyFont="1" applyFill="1" applyBorder="1" applyAlignment="1">
      <alignment horizontal="center"/>
    </xf>
    <xf numFmtId="0" fontId="10" fillId="0" borderId="14" xfId="1" applyFont="1" applyFill="1" applyBorder="1"/>
    <xf numFmtId="0" fontId="10" fillId="0" borderId="15" xfId="1" applyFont="1" applyFill="1" applyBorder="1" applyAlignment="1"/>
    <xf numFmtId="0" fontId="11" fillId="0" borderId="0" xfId="1" applyFont="1" applyFill="1" applyBorder="1" applyAlignment="1">
      <alignment horizontal="center" vertical="top"/>
    </xf>
    <xf numFmtId="0" fontId="11" fillId="0" borderId="0" xfId="1" applyFont="1" applyFill="1" applyBorder="1" applyAlignment="1">
      <alignment horizontal="right" vertical="top"/>
    </xf>
    <xf numFmtId="0" fontId="11" fillId="2" borderId="46" xfId="1" applyFont="1" applyFill="1" applyBorder="1" applyAlignment="1">
      <alignment horizontal="center"/>
    </xf>
    <xf numFmtId="187" fontId="11" fillId="2" borderId="1" xfId="2" applyFont="1" applyFill="1" applyBorder="1" applyAlignment="1">
      <alignment horizontal="right"/>
    </xf>
    <xf numFmtId="0" fontId="11" fillId="2" borderId="47" xfId="1" applyFont="1" applyFill="1" applyBorder="1" applyAlignment="1">
      <alignment horizontal="center"/>
    </xf>
    <xf numFmtId="0" fontId="11" fillId="2" borderId="16" xfId="1" applyFont="1" applyFill="1" applyBorder="1" applyAlignment="1">
      <alignment horizontal="center" wrapText="1"/>
    </xf>
    <xf numFmtId="187" fontId="11" fillId="2" borderId="47" xfId="2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188" fontId="12" fillId="0" borderId="2" xfId="9" applyNumberFormat="1" applyFont="1" applyFill="1" applyBorder="1" applyAlignment="1">
      <alignment horizontal="right" vertical="top"/>
    </xf>
    <xf numFmtId="0" fontId="12" fillId="0" borderId="5" xfId="0" applyFont="1" applyFill="1" applyBorder="1" applyAlignment="1">
      <alignment horizontal="center"/>
    </xf>
    <xf numFmtId="0" fontId="12" fillId="0" borderId="11" xfId="0" applyFont="1" applyFill="1" applyBorder="1" applyAlignment="1">
      <alignment vertical="center" wrapText="1"/>
    </xf>
    <xf numFmtId="188" fontId="12" fillId="0" borderId="5" xfId="9" applyNumberFormat="1" applyFont="1" applyFill="1" applyBorder="1" applyAlignment="1">
      <alignment horizontal="right" vertical="top"/>
    </xf>
    <xf numFmtId="0" fontId="12" fillId="0" borderId="11" xfId="0" applyFont="1" applyFill="1" applyBorder="1" applyAlignment="1">
      <alignment vertical="center"/>
    </xf>
    <xf numFmtId="188" fontId="12" fillId="0" borderId="47" xfId="9" applyNumberFormat="1" applyFont="1" applyFill="1" applyBorder="1" applyAlignment="1">
      <alignment horizontal="right" vertical="top"/>
    </xf>
    <xf numFmtId="0" fontId="29" fillId="0" borderId="0" xfId="1" applyFont="1" applyFill="1" applyBorder="1" applyAlignment="1">
      <alignment vertical="top" wrapText="1"/>
    </xf>
    <xf numFmtId="0" fontId="12" fillId="0" borderId="4" xfId="0" applyFont="1" applyFill="1" applyBorder="1" applyAlignment="1">
      <alignment horizontal="center"/>
    </xf>
    <xf numFmtId="0" fontId="12" fillId="0" borderId="39" xfId="0" applyFont="1" applyFill="1" applyBorder="1" applyAlignment="1">
      <alignment vertical="center"/>
    </xf>
    <xf numFmtId="3" fontId="12" fillId="0" borderId="4" xfId="0" applyNumberFormat="1" applyFont="1" applyFill="1" applyBorder="1" applyAlignment="1">
      <alignment horizontal="right" vertical="center"/>
    </xf>
    <xf numFmtId="3" fontId="12" fillId="0" borderId="5" xfId="0" applyNumberFormat="1" applyFont="1" applyFill="1" applyBorder="1" applyAlignment="1">
      <alignment horizontal="right" vertical="center"/>
    </xf>
    <xf numFmtId="0" fontId="12" fillId="0" borderId="33" xfId="0" applyFont="1" applyFill="1" applyBorder="1" applyAlignment="1">
      <alignment horizontal="center"/>
    </xf>
    <xf numFmtId="0" fontId="12" fillId="0" borderId="42" xfId="0" applyFont="1" applyFill="1" applyBorder="1" applyAlignment="1">
      <alignment vertical="center"/>
    </xf>
    <xf numFmtId="3" fontId="12" fillId="0" borderId="33" xfId="0" applyNumberFormat="1" applyFont="1" applyFill="1" applyBorder="1" applyAlignment="1">
      <alignment horizontal="right" vertical="center"/>
    </xf>
    <xf numFmtId="3" fontId="11" fillId="0" borderId="0" xfId="1" applyNumberFormat="1" applyFont="1" applyFill="1" applyBorder="1" applyAlignment="1">
      <alignment vertical="top" wrapText="1"/>
    </xf>
    <xf numFmtId="3" fontId="12" fillId="0" borderId="2" xfId="0" applyNumberFormat="1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center"/>
    </xf>
    <xf numFmtId="0" fontId="12" fillId="0" borderId="14" xfId="0" applyFont="1" applyFill="1" applyBorder="1" applyAlignment="1">
      <alignment vertical="center"/>
    </xf>
    <xf numFmtId="3" fontId="12" fillId="0" borderId="6" xfId="0" applyNumberFormat="1" applyFont="1" applyFill="1" applyBorder="1" applyAlignment="1">
      <alignment horizontal="right" vertical="center"/>
    </xf>
    <xf numFmtId="0" fontId="29" fillId="0" borderId="0" xfId="0" applyFont="1" applyFill="1" applyBorder="1"/>
    <xf numFmtId="3" fontId="12" fillId="0" borderId="1" xfId="0" applyNumberFormat="1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vertical="top"/>
    </xf>
    <xf numFmtId="0" fontId="12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vertical="top"/>
    </xf>
    <xf numFmtId="0" fontId="12" fillId="0" borderId="2" xfId="0" applyFont="1" applyFill="1" applyBorder="1" applyAlignment="1">
      <alignment vertical="top"/>
    </xf>
    <xf numFmtId="0" fontId="12" fillId="0" borderId="13" xfId="0" applyFont="1" applyFill="1" applyBorder="1" applyAlignment="1">
      <alignment vertical="top"/>
    </xf>
    <xf numFmtId="188" fontId="12" fillId="0" borderId="6" xfId="9" applyNumberFormat="1" applyFont="1" applyFill="1" applyBorder="1" applyAlignment="1">
      <alignment horizontal="right" vertical="top"/>
    </xf>
    <xf numFmtId="3" fontId="12" fillId="0" borderId="48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vertical="top" wrapText="1"/>
    </xf>
    <xf numFmtId="3" fontId="29" fillId="0" borderId="48" xfId="0" applyNumberFormat="1" applyFont="1" applyFill="1" applyBorder="1" applyAlignment="1">
      <alignment horizontal="right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188" fontId="12" fillId="0" borderId="1" xfId="9" applyNumberFormat="1" applyFont="1" applyFill="1" applyBorder="1" applyAlignment="1">
      <alignment horizontal="right" vertical="top"/>
    </xf>
    <xf numFmtId="0" fontId="29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/>
    </xf>
    <xf numFmtId="0" fontId="12" fillId="0" borderId="39" xfId="0" applyFont="1" applyFill="1" applyBorder="1" applyAlignment="1">
      <alignment vertical="top"/>
    </xf>
    <xf numFmtId="188" fontId="12" fillId="0" borderId="48" xfId="9" applyNumberFormat="1" applyFont="1" applyFill="1" applyBorder="1" applyAlignment="1">
      <alignment horizontal="right" vertical="top"/>
    </xf>
    <xf numFmtId="0" fontId="29" fillId="0" borderId="11" xfId="0" applyFont="1" applyFill="1" applyBorder="1" applyAlignment="1">
      <alignment vertical="top"/>
    </xf>
    <xf numFmtId="188" fontId="12" fillId="0" borderId="33" xfId="9" applyNumberFormat="1" applyFont="1" applyFill="1" applyBorder="1" applyAlignment="1">
      <alignment horizontal="right" vertical="top"/>
    </xf>
    <xf numFmtId="0" fontId="12" fillId="0" borderId="7" xfId="0" applyFont="1" applyFill="1" applyBorder="1" applyAlignment="1">
      <alignment horizontal="center"/>
    </xf>
    <xf numFmtId="191" fontId="11" fillId="2" borderId="9" xfId="1" applyNumberFormat="1" applyFont="1" applyFill="1" applyBorder="1" applyAlignment="1">
      <alignment horizontal="right"/>
    </xf>
    <xf numFmtId="192" fontId="12" fillId="0" borderId="0" xfId="0" applyNumberFormat="1" applyFont="1" applyFill="1" applyBorder="1"/>
    <xf numFmtId="0" fontId="12" fillId="0" borderId="13" xfId="0" applyFont="1" applyFill="1" applyBorder="1" applyAlignment="1">
      <alignment horizontal="center"/>
    </xf>
    <xf numFmtId="0" fontId="30" fillId="2" borderId="14" xfId="1" applyFont="1" applyFill="1" applyBorder="1" applyAlignment="1">
      <alignment horizontal="right"/>
    </xf>
    <xf numFmtId="0" fontId="30" fillId="2" borderId="15" xfId="1" applyFont="1" applyFill="1" applyBorder="1" applyAlignment="1">
      <alignment horizontal="right"/>
    </xf>
    <xf numFmtId="0" fontId="10" fillId="2" borderId="0" xfId="1" applyFont="1" applyFill="1" applyBorder="1"/>
    <xf numFmtId="0" fontId="10" fillId="2" borderId="0" xfId="1" applyFont="1" applyFill="1" applyBorder="1" applyAlignment="1">
      <alignment horizontal="right"/>
    </xf>
    <xf numFmtId="0" fontId="10" fillId="0" borderId="0" xfId="1" applyFont="1" applyFill="1" applyBorder="1" applyAlignment="1">
      <alignment horizontal="right"/>
    </xf>
    <xf numFmtId="0" fontId="11" fillId="0" borderId="2" xfId="1" applyFont="1" applyFill="1" applyBorder="1" applyAlignment="1">
      <alignment horizontal="center"/>
    </xf>
    <xf numFmtId="0" fontId="10" fillId="0" borderId="2" xfId="1" applyFont="1" applyFill="1" applyBorder="1" applyAlignment="1">
      <alignment horizontal="right"/>
    </xf>
    <xf numFmtId="0" fontId="7" fillId="0" borderId="47" xfId="0" quotePrefix="1" applyFont="1" applyFill="1" applyBorder="1"/>
    <xf numFmtId="0" fontId="25" fillId="0" borderId="3" xfId="0" quotePrefix="1" applyFont="1" applyFill="1" applyBorder="1"/>
    <xf numFmtId="3" fontId="24" fillId="0" borderId="53" xfId="0" applyNumberFormat="1" applyFont="1" applyFill="1" applyBorder="1" applyAlignment="1">
      <alignment horizontal="center"/>
    </xf>
    <xf numFmtId="3" fontId="24" fillId="0" borderId="53" xfId="0" applyNumberFormat="1" applyFont="1" applyFill="1" applyBorder="1"/>
    <xf numFmtId="0" fontId="24" fillId="0" borderId="53" xfId="0" applyFont="1" applyFill="1" applyBorder="1" applyAlignment="1">
      <alignment vertical="center"/>
    </xf>
    <xf numFmtId="3" fontId="24" fillId="0" borderId="55" xfId="0" applyNumberFormat="1" applyFont="1" applyFill="1" applyBorder="1" applyAlignment="1">
      <alignment horizontal="center"/>
    </xf>
    <xf numFmtId="3" fontId="24" fillId="0" borderId="51" xfId="0" applyNumberFormat="1" applyFont="1" applyFill="1" applyBorder="1" applyAlignment="1">
      <alignment horizontal="center" vertical="top"/>
    </xf>
    <xf numFmtId="3" fontId="24" fillId="0" borderId="53" xfId="0" applyNumberFormat="1" applyFont="1" applyFill="1" applyBorder="1" applyAlignment="1">
      <alignment horizontal="center" vertical="top"/>
    </xf>
    <xf numFmtId="0" fontId="24" fillId="0" borderId="53" xfId="0" applyFont="1" applyFill="1" applyBorder="1" applyAlignment="1">
      <alignment vertical="center" wrapText="1"/>
    </xf>
    <xf numFmtId="3" fontId="24" fillId="0" borderId="55" xfId="0" applyNumberFormat="1" applyFont="1" applyFill="1" applyBorder="1"/>
    <xf numFmtId="0" fontId="11" fillId="0" borderId="31" xfId="0" applyFont="1" applyFill="1" applyBorder="1" applyAlignment="1"/>
    <xf numFmtId="0" fontId="9" fillId="0" borderId="0" xfId="0" applyFont="1" applyFill="1" applyBorder="1" applyAlignment="1"/>
    <xf numFmtId="0" fontId="9" fillId="0" borderId="32" xfId="0" applyFont="1" applyFill="1" applyBorder="1" applyAlignment="1"/>
    <xf numFmtId="0" fontId="9" fillId="0" borderId="26" xfId="0" applyFont="1" applyFill="1" applyBorder="1" applyAlignment="1"/>
    <xf numFmtId="0" fontId="10" fillId="10" borderId="28" xfId="0" applyFont="1" applyFill="1" applyBorder="1" applyAlignment="1">
      <alignment horizontal="left"/>
    </xf>
    <xf numFmtId="49" fontId="10" fillId="10" borderId="28" xfId="0" applyNumberFormat="1" applyFont="1" applyFill="1" applyBorder="1" applyAlignment="1">
      <alignment horizontal="left"/>
    </xf>
    <xf numFmtId="49" fontId="10" fillId="3" borderId="28" xfId="0" applyNumberFormat="1" applyFont="1" applyFill="1" applyBorder="1" applyAlignment="1">
      <alignment horizontal="left"/>
    </xf>
    <xf numFmtId="0" fontId="11" fillId="11" borderId="2" xfId="1" applyFont="1" applyFill="1" applyBorder="1" applyAlignment="1">
      <alignment horizontal="center"/>
    </xf>
    <xf numFmtId="0" fontId="11" fillId="11" borderId="2" xfId="1" applyFont="1" applyFill="1" applyBorder="1" applyAlignment="1">
      <alignment horizontal="center" wrapText="1"/>
    </xf>
    <xf numFmtId="187" fontId="11" fillId="11" borderId="2" xfId="2" applyFont="1" applyFill="1" applyBorder="1" applyAlignment="1">
      <alignment horizontal="center"/>
    </xf>
    <xf numFmtId="0" fontId="11" fillId="12" borderId="3" xfId="1" applyFont="1" applyFill="1" applyBorder="1" applyAlignment="1">
      <alignment horizontal="center" vertical="top"/>
    </xf>
    <xf numFmtId="0" fontId="11" fillId="13" borderId="3" xfId="1" applyFont="1" applyFill="1" applyBorder="1" applyAlignment="1">
      <alignment vertical="top" wrapText="1"/>
    </xf>
    <xf numFmtId="3" fontId="11" fillId="12" borderId="3" xfId="2" applyNumberFormat="1" applyFont="1" applyFill="1" applyBorder="1" applyAlignment="1">
      <alignment horizontal="center" vertical="center"/>
    </xf>
    <xf numFmtId="0" fontId="11" fillId="12" borderId="3" xfId="1" applyFont="1" applyFill="1" applyBorder="1" applyAlignment="1">
      <alignment horizontal="center" vertical="top" wrapText="1"/>
    </xf>
    <xf numFmtId="3" fontId="11" fillId="12" borderId="3" xfId="2" applyNumberFormat="1" applyFont="1" applyFill="1" applyBorder="1" applyAlignment="1">
      <alignment horizontal="center" vertical="center" wrapText="1"/>
    </xf>
    <xf numFmtId="0" fontId="11" fillId="12" borderId="3" xfId="1" applyFont="1" applyFill="1" applyBorder="1" applyAlignment="1">
      <alignment horizontal="center"/>
    </xf>
    <xf numFmtId="0" fontId="11" fillId="13" borderId="3" xfId="1" applyFont="1" applyFill="1" applyBorder="1" applyAlignment="1">
      <alignment vertical="top"/>
    </xf>
    <xf numFmtId="3" fontId="11" fillId="12" borderId="3" xfId="2" applyNumberFormat="1" applyFont="1" applyFill="1" applyBorder="1" applyAlignment="1">
      <alignment horizontal="center"/>
    </xf>
    <xf numFmtId="0" fontId="11" fillId="12" borderId="3" xfId="1" applyFont="1" applyFill="1" applyBorder="1" applyAlignment="1">
      <alignment horizontal="center" vertical="center"/>
    </xf>
    <xf numFmtId="0" fontId="11" fillId="13" borderId="3" xfId="1" applyFont="1" applyFill="1" applyBorder="1" applyAlignment="1">
      <alignment horizontal="left" vertical="center" wrapText="1"/>
    </xf>
    <xf numFmtId="0" fontId="29" fillId="13" borderId="3" xfId="0" applyFont="1" applyFill="1" applyBorder="1" applyAlignment="1">
      <alignment horizontal="center" vertical="center"/>
    </xf>
    <xf numFmtId="0" fontId="29" fillId="13" borderId="5" xfId="0" applyFont="1" applyFill="1" applyBorder="1" applyAlignment="1">
      <alignment horizontal="center" vertical="center"/>
    </xf>
    <xf numFmtId="0" fontId="11" fillId="14" borderId="59" xfId="1" applyFont="1" applyFill="1" applyBorder="1" applyAlignment="1"/>
    <xf numFmtId="0" fontId="11" fillId="14" borderId="59" xfId="1" applyFont="1" applyFill="1" applyBorder="1" applyAlignment="1">
      <alignment horizontal="center"/>
    </xf>
    <xf numFmtId="187" fontId="11" fillId="14" borderId="59" xfId="2" applyFont="1" applyFill="1" applyBorder="1" applyAlignment="1">
      <alignment horizontal="center"/>
    </xf>
    <xf numFmtId="0" fontId="11" fillId="14" borderId="34" xfId="1" applyFont="1" applyFill="1" applyBorder="1" applyAlignment="1"/>
    <xf numFmtId="187" fontId="11" fillId="14" borderId="34" xfId="2" applyFont="1" applyFill="1" applyBorder="1" applyAlignment="1">
      <alignment horizontal="center"/>
    </xf>
    <xf numFmtId="0" fontId="11" fillId="18" borderId="3" xfId="1" applyFont="1" applyFill="1" applyBorder="1" applyAlignment="1">
      <alignment horizontal="center" vertical="center"/>
    </xf>
    <xf numFmtId="0" fontId="11" fillId="17" borderId="35" xfId="1" applyFont="1" applyFill="1" applyBorder="1" applyAlignment="1">
      <alignment vertical="center"/>
    </xf>
    <xf numFmtId="3" fontId="11" fillId="18" borderId="3" xfId="2" applyNumberFormat="1" applyFont="1" applyFill="1" applyBorder="1" applyAlignment="1">
      <alignment horizontal="right" vertical="center"/>
    </xf>
    <xf numFmtId="0" fontId="11" fillId="13" borderId="3" xfId="1" applyFont="1" applyFill="1" applyBorder="1" applyAlignment="1">
      <alignment horizontal="center" vertical="top" wrapText="1"/>
    </xf>
    <xf numFmtId="0" fontId="11" fillId="13" borderId="35" xfId="1" applyFont="1" applyFill="1" applyBorder="1" applyAlignment="1">
      <alignment horizontal="left" vertical="top" wrapText="1"/>
    </xf>
    <xf numFmtId="188" fontId="29" fillId="12" borderId="3" xfId="9" applyNumberFormat="1" applyFont="1" applyFill="1" applyBorder="1" applyAlignment="1">
      <alignment horizontal="right" vertical="center"/>
    </xf>
    <xf numFmtId="0" fontId="29" fillId="13" borderId="3" xfId="1" applyFont="1" applyFill="1" applyBorder="1" applyAlignment="1">
      <alignment horizontal="center" vertical="top" wrapText="1"/>
    </xf>
    <xf numFmtId="0" fontId="29" fillId="12" borderId="35" xfId="1" applyFont="1" applyFill="1" applyBorder="1" applyAlignment="1">
      <alignment horizontal="left" vertical="top" wrapText="1"/>
    </xf>
    <xf numFmtId="3" fontId="29" fillId="13" borderId="3" xfId="1" applyNumberFormat="1" applyFont="1" applyFill="1" applyBorder="1" applyAlignment="1">
      <alignment horizontal="right" vertical="top" wrapText="1"/>
    </xf>
    <xf numFmtId="3" fontId="11" fillId="13" borderId="3" xfId="1" applyNumberFormat="1" applyFont="1" applyFill="1" applyBorder="1" applyAlignment="1">
      <alignment horizontal="right" vertical="top" wrapText="1"/>
    </xf>
    <xf numFmtId="0" fontId="29" fillId="13" borderId="3" xfId="0" applyFont="1" applyFill="1" applyBorder="1" applyAlignment="1">
      <alignment horizontal="center"/>
    </xf>
    <xf numFmtId="0" fontId="29" fillId="13" borderId="35" xfId="0" applyFont="1" applyFill="1" applyBorder="1" applyAlignment="1">
      <alignment vertical="center"/>
    </xf>
    <xf numFmtId="3" fontId="29" fillId="13" borderId="3" xfId="0" applyNumberFormat="1" applyFont="1" applyFill="1" applyBorder="1" applyAlignment="1">
      <alignment horizontal="right" vertical="center"/>
    </xf>
    <xf numFmtId="0" fontId="29" fillId="13" borderId="35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vertical="center" wrapText="1"/>
    </xf>
    <xf numFmtId="0" fontId="29" fillId="0" borderId="4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left" vertical="center" wrapText="1"/>
    </xf>
    <xf numFmtId="0" fontId="29" fillId="0" borderId="39" xfId="0" applyFont="1" applyFill="1" applyBorder="1" applyAlignment="1">
      <alignment vertical="center" wrapText="1"/>
    </xf>
    <xf numFmtId="0" fontId="29" fillId="0" borderId="11" xfId="0" applyFont="1" applyFill="1" applyBorder="1" applyAlignment="1">
      <alignment vertical="top" wrapText="1"/>
    </xf>
    <xf numFmtId="188" fontId="29" fillId="0" borderId="5" xfId="9" applyNumberFormat="1" applyFont="1" applyFill="1" applyBorder="1" applyAlignment="1">
      <alignment horizontal="right" vertical="top"/>
    </xf>
    <xf numFmtId="0" fontId="29" fillId="13" borderId="35" xfId="0" applyFont="1" applyFill="1" applyBorder="1" applyAlignment="1">
      <alignment vertical="top" wrapText="1"/>
    </xf>
    <xf numFmtId="188" fontId="29" fillId="13" borderId="3" xfId="9" applyNumberFormat="1" applyFont="1" applyFill="1" applyBorder="1" applyAlignment="1">
      <alignment horizontal="right" vertical="center"/>
    </xf>
    <xf numFmtId="0" fontId="29" fillId="13" borderId="35" xfId="0" applyFont="1" applyFill="1" applyBorder="1" applyAlignment="1">
      <alignment horizontal="left" vertical="top" wrapText="1"/>
    </xf>
    <xf numFmtId="0" fontId="29" fillId="13" borderId="35" xfId="0" applyFont="1" applyFill="1" applyBorder="1" applyAlignment="1">
      <alignment horizontal="left" vertical="center" wrapText="1"/>
    </xf>
    <xf numFmtId="0" fontId="29" fillId="13" borderId="3" xfId="0" applyFont="1" applyFill="1" applyBorder="1" applyAlignment="1">
      <alignment vertical="top" wrapText="1"/>
    </xf>
    <xf numFmtId="188" fontId="29" fillId="13" borderId="49" xfId="0" applyNumberFormat="1" applyFont="1" applyFill="1" applyBorder="1" applyAlignment="1">
      <alignment horizontal="right" vertical="top" wrapText="1"/>
    </xf>
    <xf numFmtId="0" fontId="34" fillId="0" borderId="0" xfId="3" applyFont="1" applyFill="1" applyBorder="1"/>
    <xf numFmtId="0" fontId="35" fillId="2" borderId="20" xfId="1" applyFont="1" applyFill="1" applyBorder="1" applyAlignment="1">
      <alignment horizontal="center"/>
    </xf>
    <xf numFmtId="0" fontId="32" fillId="2" borderId="28" xfId="1" applyFont="1" applyFill="1" applyBorder="1" applyAlignment="1">
      <alignment horizontal="center" vertical="top" wrapText="1"/>
    </xf>
    <xf numFmtId="187" fontId="35" fillId="2" borderId="22" xfId="2" applyFont="1" applyFill="1" applyBorder="1" applyAlignment="1">
      <alignment horizontal="center"/>
    </xf>
    <xf numFmtId="0" fontId="36" fillId="0" borderId="0" xfId="3" applyFont="1" applyFill="1" applyBorder="1"/>
    <xf numFmtId="1" fontId="35" fillId="6" borderId="29" xfId="3" applyNumberFormat="1" applyFont="1" applyFill="1" applyBorder="1" applyAlignment="1">
      <alignment horizontal="center" vertical="top"/>
    </xf>
    <xf numFmtId="0" fontId="35" fillId="6" borderId="0" xfId="3" applyFont="1" applyFill="1" applyBorder="1" applyAlignment="1">
      <alignment vertical="top"/>
    </xf>
    <xf numFmtId="188" fontId="35" fillId="6" borderId="29" xfId="2" applyNumberFormat="1" applyFont="1" applyFill="1" applyBorder="1" applyAlignment="1">
      <alignment horizontal="right" vertical="top"/>
    </xf>
    <xf numFmtId="0" fontId="36" fillId="0" borderId="30" xfId="3" applyFont="1" applyFill="1" applyBorder="1" applyAlignment="1">
      <alignment horizontal="center" vertical="top"/>
    </xf>
    <xf numFmtId="0" fontId="36" fillId="0" borderId="0" xfId="3" applyFont="1" applyFill="1" applyBorder="1" applyAlignment="1">
      <alignment vertical="top"/>
    </xf>
    <xf numFmtId="188" fontId="36" fillId="0" borderId="30" xfId="2" applyNumberFormat="1" applyFont="1" applyFill="1" applyBorder="1" applyAlignment="1">
      <alignment horizontal="center" vertical="top"/>
    </xf>
    <xf numFmtId="0" fontId="36" fillId="0" borderId="0" xfId="3" applyFont="1" applyFill="1" applyBorder="1" applyAlignment="1">
      <alignment vertical="top" wrapText="1"/>
    </xf>
    <xf numFmtId="188" fontId="36" fillId="0" borderId="30" xfId="2" applyNumberFormat="1" applyFont="1" applyFill="1" applyBorder="1" applyAlignment="1">
      <alignment horizontal="right" vertical="top"/>
    </xf>
    <xf numFmtId="0" fontId="36" fillId="2" borderId="0" xfId="3" applyFont="1" applyFill="1" applyBorder="1" applyAlignment="1">
      <alignment vertical="top" wrapText="1"/>
    </xf>
    <xf numFmtId="0" fontId="36" fillId="2" borderId="0" xfId="3" applyFont="1" applyFill="1" applyBorder="1" applyAlignment="1">
      <alignment vertical="top"/>
    </xf>
    <xf numFmtId="0" fontId="36" fillId="2" borderId="0" xfId="3" applyFont="1" applyFill="1" applyBorder="1" applyAlignment="1"/>
    <xf numFmtId="2" fontId="36" fillId="0" borderId="31" xfId="3" applyNumberFormat="1" applyFont="1" applyFill="1" applyBorder="1" applyAlignment="1">
      <alignment horizontal="center" vertical="top"/>
    </xf>
    <xf numFmtId="0" fontId="36" fillId="0" borderId="26" xfId="3" applyFont="1" applyFill="1" applyBorder="1" applyAlignment="1">
      <alignment vertical="top" wrapText="1"/>
    </xf>
    <xf numFmtId="188" fontId="37" fillId="0" borderId="31" xfId="2" applyNumberFormat="1" applyFont="1" applyFill="1" applyBorder="1" applyAlignment="1">
      <alignment horizontal="right" vertical="top"/>
    </xf>
    <xf numFmtId="3" fontId="35" fillId="7" borderId="22" xfId="3" applyNumberFormat="1" applyFont="1" applyFill="1" applyBorder="1" applyAlignment="1">
      <alignment vertical="top"/>
    </xf>
    <xf numFmtId="0" fontId="35" fillId="8" borderId="29" xfId="3" applyFont="1" applyFill="1" applyBorder="1" applyAlignment="1">
      <alignment horizontal="center" wrapText="1"/>
    </xf>
    <xf numFmtId="0" fontId="35" fillId="8" borderId="24" xfId="3" applyFont="1" applyFill="1" applyBorder="1"/>
    <xf numFmtId="3" fontId="35" fillId="8" borderId="25" xfId="3" applyNumberFormat="1" applyFont="1" applyFill="1" applyBorder="1" applyAlignment="1">
      <alignment vertical="top"/>
    </xf>
    <xf numFmtId="0" fontId="35" fillId="8" borderId="31" xfId="3" applyFont="1" applyFill="1" applyBorder="1" applyAlignment="1">
      <alignment horizontal="center" wrapText="1"/>
    </xf>
    <xf numFmtId="0" fontId="35" fillId="8" borderId="26" xfId="3" applyFont="1" applyFill="1" applyBorder="1" applyAlignment="1">
      <alignment horizontal="left" vertical="top" wrapText="1"/>
    </xf>
    <xf numFmtId="3" fontId="35" fillId="8" borderId="27" xfId="3" applyNumberFormat="1" applyFont="1" applyFill="1" applyBorder="1" applyAlignment="1">
      <alignment vertical="top"/>
    </xf>
    <xf numFmtId="0" fontId="36" fillId="2" borderId="30" xfId="3" applyFont="1" applyFill="1" applyBorder="1" applyAlignment="1">
      <alignment horizontal="center" vertical="center" wrapText="1"/>
    </xf>
    <xf numFmtId="0" fontId="36" fillId="2" borderId="0" xfId="3" applyFont="1" applyFill="1" applyBorder="1" applyAlignment="1">
      <alignment vertical="center" wrapText="1"/>
    </xf>
    <xf numFmtId="3" fontId="36" fillId="0" borderId="30" xfId="3" applyNumberFormat="1" applyFont="1" applyFill="1" applyBorder="1" applyAlignment="1">
      <alignment horizontal="right" vertical="center"/>
    </xf>
    <xf numFmtId="0" fontId="36" fillId="0" borderId="30" xfId="3" applyFont="1" applyFill="1" applyBorder="1" applyAlignment="1">
      <alignment horizontal="center"/>
    </xf>
    <xf numFmtId="0" fontId="36" fillId="0" borderId="0" xfId="3" applyFont="1" applyFill="1" applyBorder="1" applyAlignment="1"/>
    <xf numFmtId="0" fontId="36" fillId="0" borderId="30" xfId="3" applyFont="1" applyFill="1" applyBorder="1" applyAlignment="1">
      <alignment horizontal="left"/>
    </xf>
    <xf numFmtId="0" fontId="36" fillId="0" borderId="0" xfId="3" applyFont="1" applyFill="1" applyBorder="1" applyAlignment="1">
      <alignment horizontal="left"/>
    </xf>
    <xf numFmtId="3" fontId="38" fillId="0" borderId="30" xfId="3" applyNumberFormat="1" applyFont="1" applyFill="1" applyBorder="1" applyAlignment="1">
      <alignment horizontal="right" vertical="center"/>
    </xf>
    <xf numFmtId="0" fontId="35" fillId="9" borderId="29" xfId="3" applyFont="1" applyFill="1" applyBorder="1" applyAlignment="1">
      <alignment horizontal="left"/>
    </xf>
    <xf numFmtId="3" fontId="39" fillId="9" borderId="29" xfId="3" applyNumberFormat="1" applyFont="1" applyFill="1" applyBorder="1" applyAlignment="1">
      <alignment horizontal="right" vertical="center" wrapText="1"/>
    </xf>
    <xf numFmtId="0" fontId="36" fillId="0" borderId="0" xfId="3" applyFont="1" applyFill="1" applyBorder="1" applyAlignment="1">
      <alignment wrapText="1"/>
    </xf>
    <xf numFmtId="0" fontId="35" fillId="9" borderId="31" xfId="3" applyFont="1" applyFill="1" applyBorder="1" applyAlignment="1">
      <alignment horizontal="left"/>
    </xf>
    <xf numFmtId="0" fontId="39" fillId="9" borderId="31" xfId="3" applyFont="1" applyFill="1" applyBorder="1" applyAlignment="1">
      <alignment horizontal="right" vertical="top"/>
    </xf>
    <xf numFmtId="0" fontId="36" fillId="0" borderId="30" xfId="0" applyFont="1" applyFill="1" applyBorder="1" applyAlignment="1">
      <alignment horizontal="center" vertical="top" wrapText="1"/>
    </xf>
    <xf numFmtId="0" fontId="36" fillId="0" borderId="0" xfId="0" applyFont="1" applyFill="1" applyBorder="1"/>
    <xf numFmtId="188" fontId="36" fillId="0" borderId="30" xfId="9" applyNumberFormat="1" applyFont="1" applyFill="1" applyBorder="1" applyAlignment="1">
      <alignment horizontal="center" vertical="center"/>
    </xf>
    <xf numFmtId="0" fontId="36" fillId="0" borderId="32" xfId="3" applyFont="1" applyFill="1" applyBorder="1" applyAlignment="1">
      <alignment horizontal="left"/>
    </xf>
    <xf numFmtId="0" fontId="36" fillId="0" borderId="26" xfId="3" applyFont="1" applyFill="1" applyBorder="1" applyAlignment="1">
      <alignment horizontal="left"/>
    </xf>
    <xf numFmtId="3" fontId="38" fillId="0" borderId="31" xfId="3" applyNumberFormat="1" applyFont="1" applyFill="1" applyBorder="1" applyAlignment="1">
      <alignment horizontal="right" vertical="center"/>
    </xf>
    <xf numFmtId="0" fontId="35" fillId="9" borderId="28" xfId="3" applyFont="1" applyFill="1" applyBorder="1" applyAlignment="1">
      <alignment horizontal="left"/>
    </xf>
    <xf numFmtId="0" fontId="35" fillId="9" borderId="21" xfId="3" applyFont="1" applyFill="1" applyBorder="1" applyAlignment="1">
      <alignment horizontal="left"/>
    </xf>
    <xf numFmtId="3" fontId="39" fillId="9" borderId="22" xfId="3" applyNumberFormat="1" applyFont="1" applyFill="1" applyBorder="1" applyAlignment="1">
      <alignment horizontal="right" vertical="center"/>
    </xf>
    <xf numFmtId="189" fontId="35" fillId="8" borderId="29" xfId="3" applyNumberFormat="1" applyFont="1" applyFill="1" applyBorder="1" applyAlignment="1">
      <alignment horizontal="center" vertical="top"/>
    </xf>
    <xf numFmtId="0" fontId="35" fillId="8" borderId="23" xfId="3" applyFont="1" applyFill="1" applyBorder="1" applyAlignment="1">
      <alignment horizontal="left" vertical="top" wrapText="1"/>
    </xf>
    <xf numFmtId="0" fontId="39" fillId="8" borderId="25" xfId="3" applyFont="1" applyFill="1" applyBorder="1" applyAlignment="1">
      <alignment horizontal="right" vertical="top"/>
    </xf>
    <xf numFmtId="189" fontId="35" fillId="8" borderId="31" xfId="3" applyNumberFormat="1" applyFont="1" applyFill="1" applyBorder="1" applyAlignment="1">
      <alignment horizontal="center" vertical="top"/>
    </xf>
    <xf numFmtId="0" fontId="39" fillId="8" borderId="27" xfId="3" applyFont="1" applyFill="1" applyBorder="1" applyAlignment="1">
      <alignment horizontal="right" vertical="top"/>
    </xf>
    <xf numFmtId="0" fontId="36" fillId="2" borderId="30" xfId="3" applyFont="1" applyFill="1" applyBorder="1" applyAlignment="1">
      <alignment horizontal="center" vertical="top"/>
    </xf>
    <xf numFmtId="0" fontId="35" fillId="10" borderId="0" xfId="3" applyFont="1" applyFill="1" applyBorder="1" applyAlignment="1">
      <alignment vertical="top"/>
    </xf>
    <xf numFmtId="0" fontId="40" fillId="2" borderId="30" xfId="3" applyFont="1" applyFill="1" applyBorder="1" applyAlignment="1">
      <alignment horizontal="right" vertical="top"/>
    </xf>
    <xf numFmtId="188" fontId="36" fillId="2" borderId="30" xfId="9" applyNumberFormat="1" applyFont="1" applyFill="1" applyBorder="1" applyAlignment="1">
      <alignment horizontal="right" vertical="top"/>
    </xf>
    <xf numFmtId="0" fontId="35" fillId="2" borderId="30" xfId="3" applyFont="1" applyFill="1" applyBorder="1" applyAlignment="1">
      <alignment horizontal="right" vertical="top"/>
    </xf>
    <xf numFmtId="0" fontId="36" fillId="2" borderId="30" xfId="3" applyFont="1" applyFill="1" applyBorder="1" applyAlignment="1">
      <alignment horizontal="right" vertical="top"/>
    </xf>
    <xf numFmtId="3" fontId="36" fillId="0" borderId="31" xfId="3" applyNumberFormat="1" applyFont="1" applyFill="1" applyBorder="1" applyAlignment="1">
      <alignment horizontal="right" vertical="center"/>
    </xf>
    <xf numFmtId="0" fontId="35" fillId="9" borderId="20" xfId="3" applyFont="1" applyFill="1" applyBorder="1" applyAlignment="1">
      <alignment horizontal="center" vertical="top"/>
    </xf>
    <xf numFmtId="0" fontId="35" fillId="9" borderId="21" xfId="3" applyFont="1" applyFill="1" applyBorder="1" applyAlignment="1">
      <alignment vertical="top" wrapText="1"/>
    </xf>
    <xf numFmtId="188" fontId="36" fillId="9" borderId="22" xfId="2" applyNumberFormat="1" applyFont="1" applyFill="1" applyBorder="1" applyAlignment="1">
      <alignment horizontal="right" vertical="top"/>
    </xf>
    <xf numFmtId="0" fontId="36" fillId="2" borderId="0" xfId="3" applyFont="1" applyFill="1" applyBorder="1" applyAlignment="1">
      <alignment horizontal="left" vertical="center" wrapText="1"/>
    </xf>
    <xf numFmtId="0" fontId="36" fillId="2" borderId="0" xfId="3" applyFont="1" applyFill="1" applyBorder="1" applyAlignment="1">
      <alignment horizontal="left" vertical="top" wrapText="1"/>
    </xf>
    <xf numFmtId="0" fontId="35" fillId="9" borderId="20" xfId="0" applyFont="1" applyFill="1" applyBorder="1" applyAlignment="1">
      <alignment horizontal="center" vertical="top" wrapText="1"/>
    </xf>
    <xf numFmtId="0" fontId="35" fillId="9" borderId="21" xfId="0" applyFont="1" applyFill="1" applyBorder="1" applyAlignment="1">
      <alignment vertical="top" wrapText="1"/>
    </xf>
    <xf numFmtId="0" fontId="35" fillId="9" borderId="22" xfId="0" applyFont="1" applyFill="1" applyBorder="1" applyAlignment="1">
      <alignment vertical="top" wrapText="1"/>
    </xf>
    <xf numFmtId="0" fontId="36" fillId="2" borderId="30" xfId="0" applyFont="1" applyFill="1" applyBorder="1" applyAlignment="1">
      <alignment horizontal="center" vertical="top" wrapText="1"/>
    </xf>
    <xf numFmtId="0" fontId="39" fillId="0" borderId="0" xfId="0" applyFont="1" applyFill="1" applyBorder="1" applyAlignment="1">
      <alignment vertical="top"/>
    </xf>
    <xf numFmtId="0" fontId="36" fillId="0" borderId="30" xfId="0" applyFont="1" applyFill="1" applyBorder="1" applyAlignment="1">
      <alignment horizontal="center" vertical="top"/>
    </xf>
    <xf numFmtId="0" fontId="36" fillId="0" borderId="0" xfId="0" applyFont="1" applyFill="1" applyBorder="1" applyAlignment="1">
      <alignment vertical="top"/>
    </xf>
    <xf numFmtId="188" fontId="36" fillId="0" borderId="30" xfId="9" applyNumberFormat="1" applyFont="1" applyFill="1" applyBorder="1" applyAlignment="1">
      <alignment vertical="top"/>
    </xf>
    <xf numFmtId="0" fontId="36" fillId="0" borderId="0" xfId="0" applyFont="1" applyFill="1" applyBorder="1" applyAlignment="1">
      <alignment horizontal="left"/>
    </xf>
    <xf numFmtId="188" fontId="36" fillId="0" borderId="31" xfId="9" applyNumberFormat="1" applyFont="1" applyFill="1" applyBorder="1" applyAlignment="1">
      <alignment vertical="top"/>
    </xf>
    <xf numFmtId="0" fontId="36" fillId="2" borderId="0" xfId="3" applyFont="1" applyFill="1" applyBorder="1"/>
    <xf numFmtId="0" fontId="36" fillId="0" borderId="30" xfId="5" applyFont="1" applyFill="1" applyBorder="1" applyAlignment="1">
      <alignment horizontal="center" vertical="top"/>
    </xf>
    <xf numFmtId="0" fontId="36" fillId="0" borderId="0" xfId="5" applyFont="1" applyFill="1" applyBorder="1" applyAlignment="1">
      <alignment vertical="top" wrapText="1"/>
    </xf>
    <xf numFmtId="188" fontId="35" fillId="0" borderId="30" xfId="2" applyNumberFormat="1" applyFont="1" applyFill="1" applyBorder="1" applyAlignment="1">
      <alignment horizontal="right" vertical="top"/>
    </xf>
    <xf numFmtId="0" fontId="36" fillId="0" borderId="0" xfId="5" applyFont="1" applyFill="1" applyBorder="1"/>
    <xf numFmtId="188" fontId="37" fillId="0" borderId="30" xfId="2" applyNumberFormat="1" applyFont="1" applyFill="1" applyBorder="1" applyAlignment="1">
      <alignment horizontal="right" vertical="top"/>
    </xf>
    <xf numFmtId="0" fontId="35" fillId="9" borderId="28" xfId="3" applyFont="1" applyFill="1" applyBorder="1" applyAlignment="1">
      <alignment horizontal="center"/>
    </xf>
    <xf numFmtId="187" fontId="36" fillId="0" borderId="30" xfId="9" applyNumberFormat="1" applyFont="1" applyFill="1" applyBorder="1" applyAlignment="1">
      <alignment horizontal="center" vertical="center"/>
    </xf>
    <xf numFmtId="0" fontId="35" fillId="9" borderId="24" xfId="3" applyFont="1" applyFill="1" applyBorder="1" applyAlignment="1">
      <alignment vertical="top" wrapText="1"/>
    </xf>
    <xf numFmtId="0" fontId="35" fillId="9" borderId="25" xfId="3" applyFont="1" applyFill="1" applyBorder="1" applyAlignment="1">
      <alignment horizontal="center" vertical="top"/>
    </xf>
    <xf numFmtId="0" fontId="35" fillId="9" borderId="26" xfId="3" applyFont="1" applyFill="1" applyBorder="1" applyAlignment="1">
      <alignment vertical="top"/>
    </xf>
    <xf numFmtId="0" fontId="35" fillId="9" borderId="27" xfId="3" applyFont="1" applyFill="1" applyBorder="1" applyAlignment="1">
      <alignment horizontal="center" vertical="top"/>
    </xf>
    <xf numFmtId="188" fontId="36" fillId="0" borderId="30" xfId="9" applyNumberFormat="1" applyFont="1" applyFill="1" applyBorder="1" applyAlignment="1">
      <alignment horizontal="right" vertical="center"/>
    </xf>
    <xf numFmtId="189" fontId="35" fillId="9" borderId="28" xfId="3" applyNumberFormat="1" applyFont="1" applyFill="1" applyBorder="1" applyAlignment="1">
      <alignment horizontal="center" vertical="top"/>
    </xf>
    <xf numFmtId="0" fontId="39" fillId="2" borderId="0" xfId="3" applyFont="1" applyFill="1" applyBorder="1" applyAlignment="1">
      <alignment horizontal="left" vertical="top"/>
    </xf>
    <xf numFmtId="0" fontId="35" fillId="2" borderId="19" xfId="3" applyFont="1" applyFill="1" applyBorder="1" applyAlignment="1">
      <alignment horizontal="left" vertical="top"/>
    </xf>
    <xf numFmtId="189" fontId="35" fillId="2" borderId="30" xfId="3" applyNumberFormat="1" applyFont="1" applyFill="1" applyBorder="1" applyAlignment="1">
      <alignment horizontal="center" vertical="top"/>
    </xf>
    <xf numFmtId="0" fontId="35" fillId="2" borderId="0" xfId="3" applyFont="1" applyFill="1" applyBorder="1" applyAlignment="1">
      <alignment horizontal="left" vertical="top"/>
    </xf>
    <xf numFmtId="0" fontId="35" fillId="2" borderId="0" xfId="3" applyFont="1" applyFill="1" applyBorder="1" applyAlignment="1">
      <alignment horizontal="left" vertical="top" wrapText="1"/>
    </xf>
    <xf numFmtId="0" fontId="35" fillId="2" borderId="0" xfId="3" applyFont="1" applyFill="1" applyBorder="1" applyAlignment="1">
      <alignment horizontal="left"/>
    </xf>
    <xf numFmtId="3" fontId="39" fillId="2" borderId="19" xfId="3" applyNumberFormat="1" applyFont="1" applyFill="1" applyBorder="1" applyAlignment="1">
      <alignment horizontal="right" vertical="center"/>
    </xf>
    <xf numFmtId="2" fontId="35" fillId="9" borderId="28" xfId="3" applyNumberFormat="1" applyFont="1" applyFill="1" applyBorder="1" applyAlignment="1">
      <alignment horizontal="center"/>
    </xf>
    <xf numFmtId="0" fontId="36" fillId="2" borderId="31" xfId="3" applyFont="1" applyFill="1" applyBorder="1" applyAlignment="1">
      <alignment horizontal="right" vertical="top"/>
    </xf>
    <xf numFmtId="0" fontId="35" fillId="9" borderId="20" xfId="3" applyFont="1" applyFill="1" applyBorder="1" applyAlignment="1">
      <alignment horizontal="center"/>
    </xf>
    <xf numFmtId="0" fontId="35" fillId="0" borderId="0" xfId="3" applyFont="1" applyFill="1" applyBorder="1" applyAlignment="1">
      <alignment horizontal="left"/>
    </xf>
    <xf numFmtId="3" fontId="39" fillId="0" borderId="19" xfId="3" applyNumberFormat="1" applyFont="1" applyFill="1" applyBorder="1" applyAlignment="1">
      <alignment horizontal="right" vertical="center"/>
    </xf>
    <xf numFmtId="188" fontId="36" fillId="2" borderId="31" xfId="9" applyNumberFormat="1" applyFont="1" applyFill="1" applyBorder="1" applyAlignment="1">
      <alignment horizontal="right" vertical="top"/>
    </xf>
    <xf numFmtId="0" fontId="35" fillId="9" borderId="20" xfId="3" applyFont="1" applyFill="1" applyBorder="1" applyAlignment="1">
      <alignment horizontal="left"/>
    </xf>
    <xf numFmtId="0" fontId="35" fillId="0" borderId="30" xfId="3" applyFont="1" applyFill="1" applyBorder="1" applyAlignment="1">
      <alignment horizontal="left"/>
    </xf>
    <xf numFmtId="0" fontId="35" fillId="9" borderId="28" xfId="3" applyFont="1" applyFill="1" applyBorder="1" applyAlignment="1">
      <alignment horizontal="center" vertical="top"/>
    </xf>
    <xf numFmtId="0" fontId="35" fillId="2" borderId="0" xfId="3" applyFont="1" applyFill="1" applyBorder="1" applyAlignment="1">
      <alignment vertical="top"/>
    </xf>
    <xf numFmtId="0" fontId="39" fillId="2" borderId="29" xfId="3" applyFont="1" applyFill="1" applyBorder="1" applyAlignment="1">
      <alignment horizontal="right" vertical="top"/>
    </xf>
    <xf numFmtId="0" fontId="35" fillId="9" borderId="29" xfId="3" applyFont="1" applyFill="1" applyBorder="1" applyAlignment="1">
      <alignment horizontal="center" vertical="top"/>
    </xf>
    <xf numFmtId="0" fontId="35" fillId="9" borderId="31" xfId="3" applyFont="1" applyFill="1" applyBorder="1" applyAlignment="1">
      <alignment horizontal="center" vertical="top"/>
    </xf>
    <xf numFmtId="0" fontId="35" fillId="9" borderId="26" xfId="3" applyFont="1" applyFill="1" applyBorder="1" applyAlignment="1">
      <alignment horizontal="left" vertical="top" wrapText="1"/>
    </xf>
    <xf numFmtId="0" fontId="35" fillId="9" borderId="27" xfId="3" applyFont="1" applyFill="1" applyBorder="1" applyAlignment="1">
      <alignment horizontal="left" vertical="top" wrapText="1"/>
    </xf>
    <xf numFmtId="0" fontId="35" fillId="0" borderId="31" xfId="3" applyFont="1" applyFill="1" applyBorder="1" applyAlignment="1">
      <alignment horizontal="center" vertical="top"/>
    </xf>
    <xf numFmtId="0" fontId="35" fillId="9" borderId="24" xfId="3" applyFont="1" applyFill="1" applyBorder="1" applyAlignment="1">
      <alignment horizontal="left"/>
    </xf>
    <xf numFmtId="3" fontId="39" fillId="9" borderId="25" xfId="3" applyNumberFormat="1" applyFont="1" applyFill="1" applyBorder="1" applyAlignment="1">
      <alignment horizontal="right" vertical="center"/>
    </xf>
    <xf numFmtId="0" fontId="35" fillId="9" borderId="26" xfId="3" applyFont="1" applyFill="1" applyBorder="1" applyAlignment="1">
      <alignment horizontal="left"/>
    </xf>
    <xf numFmtId="3" fontId="39" fillId="9" borderId="27" xfId="3" applyNumberFormat="1" applyFont="1" applyFill="1" applyBorder="1" applyAlignment="1">
      <alignment horizontal="right" vertical="center"/>
    </xf>
    <xf numFmtId="188" fontId="36" fillId="0" borderId="31" xfId="9" applyNumberFormat="1" applyFont="1" applyFill="1" applyBorder="1" applyAlignment="1">
      <alignment horizontal="right" vertical="center"/>
    </xf>
    <xf numFmtId="0" fontId="35" fillId="0" borderId="26" xfId="3" applyFont="1" applyFill="1" applyBorder="1" applyAlignment="1">
      <alignment horizontal="left" vertical="top" wrapText="1"/>
    </xf>
    <xf numFmtId="188" fontId="37" fillId="0" borderId="31" xfId="3" applyNumberFormat="1" applyFont="1" applyFill="1" applyBorder="1" applyAlignment="1">
      <alignment horizontal="left" vertical="top" wrapText="1"/>
    </xf>
    <xf numFmtId="0" fontId="35" fillId="0" borderId="18" xfId="3" applyFont="1" applyFill="1" applyBorder="1" applyAlignment="1">
      <alignment horizontal="left" vertical="top" wrapText="1"/>
    </xf>
    <xf numFmtId="188" fontId="42" fillId="0" borderId="19" xfId="3" applyNumberFormat="1" applyFont="1" applyFill="1" applyBorder="1" applyAlignment="1">
      <alignment horizontal="left" vertical="top" wrapText="1"/>
    </xf>
    <xf numFmtId="0" fontId="35" fillId="9" borderId="20" xfId="3" applyFont="1" applyFill="1" applyBorder="1" applyAlignment="1">
      <alignment vertical="top" wrapText="1"/>
    </xf>
    <xf numFmtId="0" fontId="35" fillId="9" borderId="22" xfId="3" applyFont="1" applyFill="1" applyBorder="1" applyAlignment="1">
      <alignment vertical="top" wrapText="1"/>
    </xf>
    <xf numFmtId="0" fontId="36" fillId="9" borderId="28" xfId="5" applyFont="1" applyFill="1" applyBorder="1" applyAlignment="1">
      <alignment horizontal="center" vertical="top"/>
    </xf>
    <xf numFmtId="0" fontId="35" fillId="9" borderId="21" xfId="5" applyFont="1" applyFill="1" applyBorder="1" applyAlignment="1">
      <alignment vertical="top"/>
    </xf>
    <xf numFmtId="188" fontId="42" fillId="9" borderId="22" xfId="2" applyNumberFormat="1" applyFont="1" applyFill="1" applyBorder="1" applyAlignment="1">
      <alignment horizontal="right" vertical="top"/>
    </xf>
    <xf numFmtId="0" fontId="35" fillId="9" borderId="21" xfId="3" applyFont="1" applyFill="1" applyBorder="1" applyAlignment="1">
      <alignment horizontal="left" vertical="top"/>
    </xf>
    <xf numFmtId="0" fontId="40" fillId="9" borderId="22" xfId="3" applyFont="1" applyFill="1" applyBorder="1" applyAlignment="1">
      <alignment horizontal="right" vertical="top"/>
    </xf>
    <xf numFmtId="188" fontId="36" fillId="2" borderId="29" xfId="9" applyNumberFormat="1" applyFont="1" applyFill="1" applyBorder="1" applyAlignment="1">
      <alignment horizontal="right" vertical="top"/>
    </xf>
    <xf numFmtId="0" fontId="36" fillId="2" borderId="18" xfId="3" applyFont="1" applyFill="1" applyBorder="1" applyAlignment="1">
      <alignment horizontal="center" vertical="top"/>
    </xf>
    <xf numFmtId="0" fontId="36" fillId="2" borderId="18" xfId="3" applyFont="1" applyFill="1" applyBorder="1" applyAlignment="1">
      <alignment vertical="top"/>
    </xf>
    <xf numFmtId="0" fontId="35" fillId="9" borderId="21" xfId="3" applyFont="1" applyFill="1" applyBorder="1" applyAlignment="1">
      <alignment horizontal="left" vertical="top" wrapText="1"/>
    </xf>
    <xf numFmtId="188" fontId="37" fillId="9" borderId="22" xfId="2" applyNumberFormat="1" applyFont="1" applyFill="1" applyBorder="1" applyAlignment="1">
      <alignment horizontal="right" vertical="top"/>
    </xf>
    <xf numFmtId="0" fontId="36" fillId="2" borderId="29" xfId="3" applyFont="1" applyFill="1" applyBorder="1" applyAlignment="1">
      <alignment horizontal="right" vertical="top"/>
    </xf>
    <xf numFmtId="0" fontId="36" fillId="0" borderId="18" xfId="3" applyFont="1" applyFill="1" applyBorder="1"/>
    <xf numFmtId="0" fontId="36" fillId="0" borderId="18" xfId="3" applyFont="1" applyFill="1" applyBorder="1" applyAlignment="1">
      <alignment wrapText="1"/>
    </xf>
    <xf numFmtId="0" fontId="35" fillId="9" borderId="22" xfId="3" applyFont="1" applyFill="1" applyBorder="1" applyAlignment="1">
      <alignment horizontal="right" vertical="top"/>
    </xf>
    <xf numFmtId="0" fontId="35" fillId="9" borderId="20" xfId="3" applyFont="1" applyFill="1" applyBorder="1" applyAlignment="1">
      <alignment horizontal="left" vertical="top" wrapText="1"/>
    </xf>
    <xf numFmtId="0" fontId="35" fillId="9" borderId="22" xfId="3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vertical="center"/>
    </xf>
    <xf numFmtId="0" fontId="36" fillId="0" borderId="30" xfId="3" applyFont="1" applyFill="1" applyBorder="1" applyAlignment="1">
      <alignment horizontal="right" vertical="top" wrapText="1"/>
    </xf>
    <xf numFmtId="0" fontId="35" fillId="0" borderId="0" xfId="3" applyFont="1" applyFill="1" applyBorder="1" applyAlignment="1">
      <alignment horizontal="left" vertical="top" wrapText="1"/>
    </xf>
    <xf numFmtId="0" fontId="36" fillId="9" borderId="20" xfId="3" applyFont="1" applyFill="1" applyBorder="1" applyAlignment="1">
      <alignment horizontal="center" vertical="top"/>
    </xf>
    <xf numFmtId="188" fontId="42" fillId="9" borderId="22" xfId="3" applyNumberFormat="1" applyFont="1" applyFill="1" applyBorder="1" applyAlignment="1">
      <alignment horizontal="left" vertical="top" wrapText="1"/>
    </xf>
    <xf numFmtId="0" fontId="35" fillId="2" borderId="30" xfId="3" applyFont="1" applyFill="1" applyBorder="1" applyAlignment="1">
      <alignment horizontal="center" vertical="top"/>
    </xf>
    <xf numFmtId="188" fontId="42" fillId="2" borderId="19" xfId="3" applyNumberFormat="1" applyFont="1" applyFill="1" applyBorder="1" applyAlignment="1">
      <alignment horizontal="left" vertical="top" wrapText="1"/>
    </xf>
    <xf numFmtId="0" fontId="35" fillId="0" borderId="30" xfId="3" applyFont="1" applyFill="1" applyBorder="1" applyAlignment="1">
      <alignment horizontal="center" vertical="top"/>
    </xf>
    <xf numFmtId="0" fontId="35" fillId="9" borderId="24" xfId="3" applyFont="1" applyFill="1" applyBorder="1" applyAlignment="1">
      <alignment vertical="top"/>
    </xf>
    <xf numFmtId="188" fontId="42" fillId="9" borderId="25" xfId="2" applyNumberFormat="1" applyFont="1" applyFill="1" applyBorder="1" applyAlignment="1">
      <alignment horizontal="right" vertical="top"/>
    </xf>
    <xf numFmtId="188" fontId="42" fillId="9" borderId="27" xfId="2" applyNumberFormat="1" applyFont="1" applyFill="1" applyBorder="1" applyAlignment="1">
      <alignment horizontal="right" vertical="top"/>
    </xf>
    <xf numFmtId="189" fontId="35" fillId="8" borderId="28" xfId="3" applyNumberFormat="1" applyFont="1" applyFill="1" applyBorder="1" applyAlignment="1">
      <alignment horizontal="center" vertical="top"/>
    </xf>
    <xf numFmtId="188" fontId="42" fillId="0" borderId="30" xfId="2" applyNumberFormat="1" applyFont="1" applyFill="1" applyBorder="1" applyAlignment="1">
      <alignment horizontal="right" vertical="top"/>
    </xf>
    <xf numFmtId="2" fontId="35" fillId="8" borderId="28" xfId="3" applyNumberFormat="1" applyFont="1" applyFill="1" applyBorder="1" applyAlignment="1">
      <alignment horizontal="center" vertical="top"/>
    </xf>
    <xf numFmtId="0" fontId="35" fillId="9" borderId="21" xfId="3" applyFont="1" applyFill="1" applyBorder="1" applyAlignment="1">
      <alignment vertical="top"/>
    </xf>
    <xf numFmtId="0" fontId="35" fillId="9" borderId="22" xfId="3" applyFont="1" applyFill="1" applyBorder="1" applyAlignment="1">
      <alignment horizontal="center" vertical="top"/>
    </xf>
    <xf numFmtId="0" fontId="36" fillId="0" borderId="0" xfId="0" applyFont="1" applyFill="1" applyBorder="1" applyAlignment="1">
      <alignment vertical="top" wrapText="1"/>
    </xf>
    <xf numFmtId="3" fontId="39" fillId="0" borderId="30" xfId="3" applyNumberFormat="1" applyFont="1" applyFill="1" applyBorder="1" applyAlignment="1">
      <alignment horizontal="right" vertical="center"/>
    </xf>
    <xf numFmtId="0" fontId="35" fillId="8" borderId="21" xfId="3" applyFont="1" applyFill="1" applyBorder="1" applyAlignment="1">
      <alignment vertical="top"/>
    </xf>
    <xf numFmtId="188" fontId="36" fillId="0" borderId="30" xfId="2" applyNumberFormat="1" applyFont="1" applyFill="1" applyBorder="1" applyAlignment="1">
      <alignment vertical="top"/>
    </xf>
    <xf numFmtId="0" fontId="36" fillId="0" borderId="0" xfId="0" applyFont="1" applyFill="1" applyBorder="1" applyAlignment="1">
      <alignment horizontal="left" vertical="top"/>
    </xf>
    <xf numFmtId="0" fontId="36" fillId="0" borderId="30" xfId="0" applyFont="1" applyFill="1" applyBorder="1" applyAlignment="1">
      <alignment vertical="top" wrapText="1"/>
    </xf>
    <xf numFmtId="188" fontId="42" fillId="0" borderId="30" xfId="2" applyNumberFormat="1" applyFont="1" applyFill="1" applyBorder="1" applyAlignment="1">
      <alignment vertical="top"/>
    </xf>
    <xf numFmtId="0" fontId="39" fillId="0" borderId="0" xfId="3" applyFont="1" applyFill="1" applyBorder="1" applyAlignment="1">
      <alignment vertical="top"/>
    </xf>
    <xf numFmtId="188" fontId="42" fillId="2" borderId="30" xfId="2" applyNumberFormat="1" applyFont="1" applyFill="1" applyBorder="1" applyAlignment="1">
      <alignment horizontal="right" vertical="top"/>
    </xf>
    <xf numFmtId="3" fontId="38" fillId="0" borderId="25" xfId="3" applyNumberFormat="1" applyFont="1" applyFill="1" applyBorder="1" applyAlignment="1">
      <alignment vertical="top"/>
    </xf>
    <xf numFmtId="188" fontId="34" fillId="0" borderId="19" xfId="2" applyNumberFormat="1" applyFont="1" applyFill="1" applyBorder="1" applyAlignment="1">
      <alignment vertical="top"/>
    </xf>
    <xf numFmtId="0" fontId="36" fillId="0" borderId="32" xfId="3" applyFont="1" applyFill="1" applyBorder="1" applyAlignment="1">
      <alignment horizontal="center" vertical="top"/>
    </xf>
    <xf numFmtId="0" fontId="34" fillId="0" borderId="26" xfId="3" applyFont="1" applyFill="1" applyBorder="1" applyAlignment="1">
      <alignment vertical="top"/>
    </xf>
    <xf numFmtId="188" fontId="34" fillId="0" borderId="27" xfId="2" applyNumberFormat="1" applyFont="1" applyFill="1" applyBorder="1" applyAlignment="1">
      <alignment vertical="top"/>
    </xf>
    <xf numFmtId="0" fontId="36" fillId="0" borderId="0" xfId="3" applyFont="1" applyFill="1" applyBorder="1" applyAlignment="1">
      <alignment horizontal="center" vertical="top"/>
    </xf>
    <xf numFmtId="0" fontId="34" fillId="0" borderId="0" xfId="3" applyFont="1" applyFill="1" applyBorder="1" applyAlignment="1">
      <alignment vertical="top"/>
    </xf>
    <xf numFmtId="188" fontId="34" fillId="0" borderId="0" xfId="2" applyNumberFormat="1" applyFont="1" applyFill="1" applyBorder="1" applyAlignment="1">
      <alignment vertical="top"/>
    </xf>
    <xf numFmtId="188" fontId="36" fillId="0" borderId="29" xfId="9" applyNumberFormat="1" applyFont="1" applyFill="1" applyBorder="1" applyAlignment="1">
      <alignment horizontal="right" vertical="center"/>
    </xf>
    <xf numFmtId="0" fontId="36" fillId="2" borderId="29" xfId="0" applyFont="1" applyFill="1" applyBorder="1" applyAlignment="1">
      <alignment horizontal="center" vertical="top" wrapText="1"/>
    </xf>
    <xf numFmtId="0" fontId="36" fillId="0" borderId="25" xfId="0" applyFont="1" applyFill="1" applyBorder="1"/>
    <xf numFmtId="0" fontId="36" fillId="0" borderId="19" xfId="0" applyFont="1" applyFill="1" applyBorder="1"/>
    <xf numFmtId="0" fontId="36" fillId="0" borderId="19" xfId="0" applyFont="1" applyFill="1" applyBorder="1" applyAlignment="1">
      <alignment horizontal="left"/>
    </xf>
    <xf numFmtId="0" fontId="36" fillId="2" borderId="19" xfId="3" applyFont="1" applyFill="1" applyBorder="1" applyAlignment="1">
      <alignment vertical="top"/>
    </xf>
    <xf numFmtId="0" fontId="36" fillId="2" borderId="27" xfId="3" applyFont="1" applyFill="1" applyBorder="1" applyAlignment="1">
      <alignment vertical="top"/>
    </xf>
    <xf numFmtId="0" fontId="36" fillId="2" borderId="31" xfId="0" applyFont="1" applyFill="1" applyBorder="1" applyAlignment="1">
      <alignment horizontal="center" vertical="top" wrapText="1"/>
    </xf>
    <xf numFmtId="0" fontId="36" fillId="2" borderId="29" xfId="0" applyFont="1" applyFill="1" applyBorder="1" applyAlignment="1">
      <alignment horizontal="center" vertical="top"/>
    </xf>
    <xf numFmtId="0" fontId="36" fillId="2" borderId="30" xfId="0" applyFont="1" applyFill="1" applyBorder="1" applyAlignment="1">
      <alignment horizontal="center" vertical="top"/>
    </xf>
    <xf numFmtId="0" fontId="36" fillId="2" borderId="31" xfId="0" applyFont="1" applyFill="1" applyBorder="1" applyAlignment="1">
      <alignment horizontal="center" vertical="top"/>
    </xf>
    <xf numFmtId="188" fontId="36" fillId="0" borderId="29" xfId="2" applyNumberFormat="1" applyFont="1" applyFill="1" applyBorder="1" applyAlignment="1">
      <alignment vertical="top"/>
    </xf>
    <xf numFmtId="188" fontId="42" fillId="2" borderId="31" xfId="2" applyNumberFormat="1" applyFont="1" applyFill="1" applyBorder="1" applyAlignment="1">
      <alignment horizontal="right" vertical="top"/>
    </xf>
    <xf numFmtId="0" fontId="36" fillId="2" borderId="29" xfId="3" applyFont="1" applyFill="1" applyBorder="1" applyAlignment="1">
      <alignment horizontal="center" vertical="top"/>
    </xf>
    <xf numFmtId="0" fontId="35" fillId="0" borderId="24" xfId="3" applyFont="1" applyFill="1" applyBorder="1"/>
    <xf numFmtId="0" fontId="36" fillId="0" borderId="25" xfId="3" applyFont="1" applyFill="1" applyBorder="1"/>
    <xf numFmtId="0" fontId="36" fillId="0" borderId="31" xfId="3" applyFont="1" applyFill="1" applyBorder="1" applyAlignment="1">
      <alignment horizontal="center" vertical="top"/>
    </xf>
    <xf numFmtId="0" fontId="35" fillId="2" borderId="31" xfId="3" applyFont="1" applyFill="1" applyBorder="1" applyAlignment="1">
      <alignment horizontal="left"/>
    </xf>
    <xf numFmtId="0" fontId="35" fillId="0" borderId="31" xfId="3" applyFont="1" applyFill="1" applyBorder="1" applyAlignment="1">
      <alignment horizontal="left"/>
    </xf>
    <xf numFmtId="0" fontId="36" fillId="2" borderId="26" xfId="3" applyFont="1" applyFill="1" applyBorder="1" applyAlignment="1">
      <alignment vertical="top"/>
    </xf>
    <xf numFmtId="0" fontId="35" fillId="0" borderId="18" xfId="3" applyFont="1" applyFill="1" applyBorder="1" applyAlignment="1">
      <alignment horizontal="left"/>
    </xf>
    <xf numFmtId="3" fontId="39" fillId="0" borderId="27" xfId="3" applyNumberFormat="1" applyFont="1" applyFill="1" applyBorder="1" applyAlignment="1">
      <alignment horizontal="right" vertical="center"/>
    </xf>
    <xf numFmtId="3" fontId="39" fillId="0" borderId="31" xfId="3" applyNumberFormat="1" applyFont="1" applyFill="1" applyBorder="1" applyAlignment="1">
      <alignment horizontal="right" vertical="center"/>
    </xf>
    <xf numFmtId="2" fontId="36" fillId="0" borderId="18" xfId="3" applyNumberFormat="1" applyFont="1" applyFill="1" applyBorder="1" applyAlignment="1">
      <alignment horizontal="center" vertical="top"/>
    </xf>
    <xf numFmtId="188" fontId="37" fillId="0" borderId="19" xfId="2" applyNumberFormat="1" applyFont="1" applyFill="1" applyBorder="1" applyAlignment="1">
      <alignment horizontal="right" vertical="top"/>
    </xf>
    <xf numFmtId="0" fontId="35" fillId="0" borderId="18" xfId="3" applyFont="1" applyFill="1" applyBorder="1" applyAlignment="1">
      <alignment horizontal="center" vertical="top"/>
    </xf>
    <xf numFmtId="0" fontId="36" fillId="0" borderId="31" xfId="3" applyFont="1" applyFill="1" applyBorder="1" applyAlignment="1">
      <alignment horizontal="left"/>
    </xf>
    <xf numFmtId="0" fontId="36" fillId="0" borderId="26" xfId="3" applyFont="1" applyFill="1" applyBorder="1" applyAlignment="1">
      <alignment wrapText="1"/>
    </xf>
    <xf numFmtId="0" fontId="36" fillId="0" borderId="26" xfId="0" applyFont="1" applyFill="1" applyBorder="1" applyAlignment="1">
      <alignment vertical="top"/>
    </xf>
    <xf numFmtId="0" fontId="36" fillId="0" borderId="29" xfId="3" applyFont="1" applyFill="1" applyBorder="1" applyAlignment="1">
      <alignment horizontal="center" vertical="top"/>
    </xf>
    <xf numFmtId="0" fontId="36" fillId="0" borderId="24" xfId="3" applyFont="1" applyFill="1" applyBorder="1"/>
    <xf numFmtId="3" fontId="36" fillId="0" borderId="29" xfId="3" applyNumberFormat="1" applyFont="1" applyFill="1" applyBorder="1" applyAlignment="1">
      <alignment horizontal="right" vertical="center"/>
    </xf>
    <xf numFmtId="0" fontId="35" fillId="2" borderId="31" xfId="0" applyFont="1" applyFill="1" applyBorder="1" applyAlignment="1">
      <alignment horizontal="right" vertical="top" wrapText="1"/>
    </xf>
    <xf numFmtId="0" fontId="36" fillId="0" borderId="26" xfId="0" applyFont="1" applyFill="1" applyBorder="1" applyAlignment="1">
      <alignment horizontal="right" vertical="top" wrapText="1"/>
    </xf>
    <xf numFmtId="188" fontId="37" fillId="0" borderId="31" xfId="0" applyNumberFormat="1" applyFont="1" applyFill="1" applyBorder="1" applyAlignment="1">
      <alignment horizontal="right" vertical="top"/>
    </xf>
    <xf numFmtId="0" fontId="35" fillId="0" borderId="26" xfId="3" applyFont="1" applyFill="1" applyBorder="1" applyAlignment="1">
      <alignment horizontal="left"/>
    </xf>
    <xf numFmtId="0" fontId="35" fillId="0" borderId="32" xfId="3" applyFont="1" applyFill="1" applyBorder="1" applyAlignment="1">
      <alignment horizontal="left"/>
    </xf>
    <xf numFmtId="0" fontId="36" fillId="2" borderId="31" xfId="3" applyFont="1" applyFill="1" applyBorder="1" applyAlignment="1">
      <alignment horizontal="center" vertical="top"/>
    </xf>
    <xf numFmtId="0" fontId="36" fillId="0" borderId="26" xfId="0" applyFont="1" applyFill="1" applyBorder="1" applyAlignment="1">
      <alignment horizontal="left"/>
    </xf>
    <xf numFmtId="0" fontId="36" fillId="2" borderId="32" xfId="3" applyFont="1" applyFill="1" applyBorder="1" applyAlignment="1">
      <alignment horizontal="center" vertical="top"/>
    </xf>
    <xf numFmtId="0" fontId="36" fillId="0" borderId="32" xfId="3" applyFont="1" applyFill="1" applyBorder="1" applyAlignment="1">
      <alignment wrapText="1"/>
    </xf>
    <xf numFmtId="0" fontId="35" fillId="0" borderId="32" xfId="3" applyFont="1" applyFill="1" applyBorder="1" applyAlignment="1">
      <alignment horizontal="center" vertical="top"/>
    </xf>
    <xf numFmtId="188" fontId="42" fillId="0" borderId="27" xfId="3" applyNumberFormat="1" applyFont="1" applyFill="1" applyBorder="1" applyAlignment="1">
      <alignment horizontal="left" vertical="top" wrapText="1"/>
    </xf>
    <xf numFmtId="0" fontId="36" fillId="0" borderId="24" xfId="0" applyFont="1" applyFill="1" applyBorder="1"/>
    <xf numFmtId="3" fontId="43" fillId="0" borderId="31" xfId="3" applyNumberFormat="1" applyFont="1" applyFill="1" applyBorder="1" applyAlignment="1">
      <alignment horizontal="right" vertical="center"/>
    </xf>
    <xf numFmtId="3" fontId="39" fillId="0" borderId="31" xfId="3" applyNumberFormat="1" applyFont="1" applyFill="1" applyBorder="1" applyAlignment="1">
      <alignment horizontal="right" vertical="top"/>
    </xf>
    <xf numFmtId="188" fontId="42" fillId="0" borderId="31" xfId="2" applyNumberFormat="1" applyFont="1" applyFill="1" applyBorder="1" applyAlignment="1">
      <alignment horizontal="right" vertical="top"/>
    </xf>
    <xf numFmtId="0" fontId="36" fillId="0" borderId="26" xfId="3" applyFont="1" applyFill="1" applyBorder="1" applyAlignment="1">
      <alignment vertical="top"/>
    </xf>
    <xf numFmtId="0" fontId="36" fillId="0" borderId="31" xfId="0" applyFont="1" applyFill="1" applyBorder="1" applyAlignment="1">
      <alignment vertical="top" wrapText="1"/>
    </xf>
    <xf numFmtId="0" fontId="36" fillId="0" borderId="26" xfId="0" applyFont="1" applyFill="1" applyBorder="1" applyAlignment="1">
      <alignment vertical="top" wrapText="1"/>
    </xf>
    <xf numFmtId="188" fontId="42" fillId="0" borderId="31" xfId="2" applyNumberFormat="1" applyFont="1" applyFill="1" applyBorder="1" applyAlignment="1">
      <alignment vertical="top"/>
    </xf>
    <xf numFmtId="0" fontId="36" fillId="2" borderId="26" xfId="3" applyFont="1" applyFill="1" applyBorder="1" applyAlignment="1">
      <alignment vertical="top" wrapText="1"/>
    </xf>
    <xf numFmtId="0" fontId="34" fillId="0" borderId="0" xfId="5" applyFont="1" applyFill="1" applyBorder="1"/>
    <xf numFmtId="0" fontId="35" fillId="2" borderId="23" xfId="1" applyFont="1" applyFill="1" applyBorder="1" applyAlignment="1">
      <alignment horizontal="center"/>
    </xf>
    <xf numFmtId="0" fontId="32" fillId="2" borderId="29" xfId="1" applyFont="1" applyFill="1" applyBorder="1" applyAlignment="1">
      <alignment horizontal="center" vertical="center"/>
    </xf>
    <xf numFmtId="187" fontId="35" fillId="2" borderId="25" xfId="2" applyFont="1" applyFill="1" applyBorder="1" applyAlignment="1">
      <alignment horizontal="center" vertical="center"/>
    </xf>
    <xf numFmtId="0" fontId="35" fillId="2" borderId="32" xfId="1" applyFont="1" applyFill="1" applyBorder="1" applyAlignment="1">
      <alignment horizontal="center"/>
    </xf>
    <xf numFmtId="187" fontId="35" fillId="2" borderId="27" xfId="2" applyFont="1" applyFill="1" applyBorder="1" applyAlignment="1">
      <alignment horizontal="center"/>
    </xf>
    <xf numFmtId="1" fontId="35" fillId="6" borderId="29" xfId="5" applyNumberFormat="1" applyFont="1" applyFill="1" applyBorder="1" applyAlignment="1">
      <alignment horizontal="center" vertical="top"/>
    </xf>
    <xf numFmtId="0" fontId="35" fillId="6" borderId="0" xfId="5" applyFont="1" applyFill="1" applyBorder="1" applyAlignment="1">
      <alignment vertical="top"/>
    </xf>
    <xf numFmtId="0" fontId="36" fillId="0" borderId="0" xfId="5" applyFont="1" applyFill="1" applyBorder="1" applyAlignment="1">
      <alignment vertical="top"/>
    </xf>
    <xf numFmtId="0" fontId="36" fillId="2" borderId="0" xfId="5" applyFont="1" applyFill="1" applyBorder="1" applyAlignment="1">
      <alignment vertical="top" wrapText="1"/>
    </xf>
    <xf numFmtId="0" fontId="36" fillId="2" borderId="0" xfId="5" applyFont="1" applyFill="1" applyBorder="1" applyAlignment="1">
      <alignment vertical="top"/>
    </xf>
    <xf numFmtId="0" fontId="36" fillId="2" borderId="0" xfId="5" applyFont="1" applyFill="1" applyBorder="1" applyAlignment="1"/>
    <xf numFmtId="2" fontId="36" fillId="0" borderId="31" xfId="5" applyNumberFormat="1" applyFont="1" applyFill="1" applyBorder="1" applyAlignment="1">
      <alignment horizontal="center" vertical="top"/>
    </xf>
    <xf numFmtId="188" fontId="42" fillId="0" borderId="19" xfId="2" applyNumberFormat="1" applyFont="1" applyFill="1" applyBorder="1" applyAlignment="1">
      <alignment horizontal="right" vertical="top"/>
    </xf>
    <xf numFmtId="3" fontId="35" fillId="7" borderId="28" xfId="5" applyNumberFormat="1" applyFont="1" applyFill="1" applyBorder="1" applyAlignment="1">
      <alignment vertical="top"/>
    </xf>
    <xf numFmtId="0" fontId="35" fillId="8" borderId="29" xfId="5" applyFont="1" applyFill="1" applyBorder="1" applyAlignment="1">
      <alignment horizontal="center" wrapText="1"/>
    </xf>
    <xf numFmtId="3" fontId="35" fillId="8" borderId="29" xfId="5" applyNumberFormat="1" applyFont="1" applyFill="1" applyBorder="1" applyAlignment="1">
      <alignment vertical="top"/>
    </xf>
    <xf numFmtId="0" fontId="35" fillId="8" borderId="18" xfId="5" applyFont="1" applyFill="1" applyBorder="1" applyAlignment="1">
      <alignment horizontal="center" vertical="top" wrapText="1"/>
    </xf>
    <xf numFmtId="0" fontId="35" fillId="8" borderId="23" xfId="5" applyFont="1" applyFill="1" applyBorder="1" applyAlignment="1">
      <alignment horizontal="left" vertical="top" wrapText="1"/>
    </xf>
    <xf numFmtId="0" fontId="39" fillId="8" borderId="30" xfId="5" applyFont="1" applyFill="1" applyBorder="1" applyAlignment="1">
      <alignment horizontal="right" vertical="top"/>
    </xf>
    <xf numFmtId="0" fontId="36" fillId="2" borderId="18" xfId="5" applyFont="1" applyFill="1" applyBorder="1" applyAlignment="1">
      <alignment horizontal="center" vertical="center" wrapText="1"/>
    </xf>
    <xf numFmtId="0" fontId="36" fillId="2" borderId="18" xfId="5" applyFont="1" applyFill="1" applyBorder="1" applyAlignment="1">
      <alignment vertical="center" wrapText="1"/>
    </xf>
    <xf numFmtId="3" fontId="36" fillId="0" borderId="30" xfId="5" applyNumberFormat="1" applyFont="1" applyFill="1" applyBorder="1" applyAlignment="1">
      <alignment horizontal="right" vertical="center"/>
    </xf>
    <xf numFmtId="0" fontId="36" fillId="0" borderId="18" xfId="5" applyFont="1" applyFill="1" applyBorder="1" applyAlignment="1">
      <alignment horizontal="center"/>
    </xf>
    <xf numFmtId="0" fontId="36" fillId="0" borderId="18" xfId="5" applyFont="1" applyFill="1" applyBorder="1" applyAlignment="1"/>
    <xf numFmtId="0" fontId="36" fillId="2" borderId="18" xfId="5" applyFont="1" applyFill="1" applyBorder="1" applyAlignment="1">
      <alignment vertical="top" wrapText="1"/>
    </xf>
    <xf numFmtId="0" fontId="36" fillId="0" borderId="18" xfId="5" applyFont="1" applyFill="1" applyBorder="1" applyAlignment="1">
      <alignment horizontal="left"/>
    </xf>
    <xf numFmtId="3" fontId="39" fillId="0" borderId="30" xfId="5" applyNumberFormat="1" applyFont="1" applyFill="1" applyBorder="1" applyAlignment="1">
      <alignment horizontal="right" vertical="center"/>
    </xf>
    <xf numFmtId="189" fontId="35" fillId="8" borderId="29" xfId="5" applyNumberFormat="1" applyFont="1" applyFill="1" applyBorder="1" applyAlignment="1">
      <alignment horizontal="center" vertical="top"/>
    </xf>
    <xf numFmtId="0" fontId="35" fillId="9" borderId="24" xfId="5" applyFont="1" applyFill="1" applyBorder="1" applyAlignment="1">
      <alignment vertical="top"/>
    </xf>
    <xf numFmtId="0" fontId="35" fillId="9" borderId="25" xfId="5" applyFont="1" applyFill="1" applyBorder="1" applyAlignment="1">
      <alignment horizontal="center" vertical="top"/>
    </xf>
    <xf numFmtId="0" fontId="36" fillId="8" borderId="31" xfId="5" applyFont="1" applyFill="1" applyBorder="1" applyAlignment="1">
      <alignment horizontal="center" vertical="top"/>
    </xf>
    <xf numFmtId="0" fontId="35" fillId="8" borderId="26" xfId="5" applyFont="1" applyFill="1" applyBorder="1" applyAlignment="1">
      <alignment vertical="top"/>
    </xf>
    <xf numFmtId="0" fontId="39" fillId="8" borderId="27" xfId="5" applyFont="1" applyFill="1" applyBorder="1" applyAlignment="1">
      <alignment horizontal="right" vertical="top"/>
    </xf>
    <xf numFmtId="0" fontId="36" fillId="2" borderId="0" xfId="5" applyFont="1" applyFill="1" applyBorder="1" applyAlignment="1">
      <alignment horizontal="left" vertical="center" wrapText="1"/>
    </xf>
    <xf numFmtId="0" fontId="36" fillId="0" borderId="0" xfId="5" applyFont="1" applyFill="1" applyBorder="1" applyAlignment="1">
      <alignment wrapText="1"/>
    </xf>
    <xf numFmtId="0" fontId="36" fillId="0" borderId="31" xfId="5" applyFont="1" applyFill="1" applyBorder="1" applyAlignment="1">
      <alignment horizontal="center" vertical="top"/>
    </xf>
    <xf numFmtId="0" fontId="36" fillId="0" borderId="26" xfId="5" applyFont="1" applyFill="1" applyBorder="1" applyAlignment="1">
      <alignment wrapText="1"/>
    </xf>
    <xf numFmtId="0" fontId="35" fillId="0" borderId="30" xfId="5" applyFont="1" applyFill="1" applyBorder="1" applyAlignment="1">
      <alignment horizontal="center" vertical="top"/>
    </xf>
    <xf numFmtId="0" fontId="35" fillId="0" borderId="0" xfId="5" applyFont="1" applyFill="1" applyBorder="1" applyAlignment="1">
      <alignment vertical="top" wrapText="1"/>
    </xf>
    <xf numFmtId="0" fontId="36" fillId="2" borderId="0" xfId="5" applyFont="1" applyFill="1" applyBorder="1" applyAlignment="1">
      <alignment horizontal="left" vertical="top" wrapText="1"/>
    </xf>
    <xf numFmtId="0" fontId="35" fillId="9" borderId="28" xfId="5" applyFont="1" applyFill="1" applyBorder="1" applyAlignment="1">
      <alignment horizontal="center" vertical="top"/>
    </xf>
    <xf numFmtId="0" fontId="36" fillId="2" borderId="30" xfId="5" applyFont="1" applyFill="1" applyBorder="1" applyAlignment="1">
      <alignment horizontal="center" vertical="top"/>
    </xf>
    <xf numFmtId="0" fontId="35" fillId="2" borderId="0" xfId="5" applyFont="1" applyFill="1" applyBorder="1" applyAlignment="1">
      <alignment vertical="top"/>
    </xf>
    <xf numFmtId="0" fontId="36" fillId="8" borderId="30" xfId="5" applyFont="1" applyFill="1" applyBorder="1" applyAlignment="1">
      <alignment horizontal="center" vertical="top"/>
    </xf>
    <xf numFmtId="0" fontId="35" fillId="8" borderId="0" xfId="5" applyFont="1" applyFill="1" applyBorder="1" applyAlignment="1">
      <alignment vertical="top"/>
    </xf>
    <xf numFmtId="0" fontId="39" fillId="8" borderId="19" xfId="5" applyFont="1" applyFill="1" applyBorder="1" applyAlignment="1">
      <alignment horizontal="right" vertical="top"/>
    </xf>
    <xf numFmtId="2" fontId="35" fillId="8" borderId="28" xfId="5" applyNumberFormat="1" applyFont="1" applyFill="1" applyBorder="1" applyAlignment="1">
      <alignment horizontal="center" vertical="top"/>
    </xf>
    <xf numFmtId="0" fontId="35" fillId="9" borderId="22" xfId="5" applyFont="1" applyFill="1" applyBorder="1" applyAlignment="1">
      <alignment horizontal="center" vertical="top"/>
    </xf>
    <xf numFmtId="0" fontId="36" fillId="2" borderId="0" xfId="5" applyFont="1" applyFill="1" applyBorder="1"/>
    <xf numFmtId="0" fontId="39" fillId="0" borderId="0" xfId="5" applyFont="1" applyFill="1" applyBorder="1" applyAlignment="1">
      <alignment vertical="top"/>
    </xf>
    <xf numFmtId="189" fontId="35" fillId="2" borderId="30" xfId="5" applyNumberFormat="1" applyFont="1" applyFill="1" applyBorder="1" applyAlignment="1">
      <alignment horizontal="center" vertical="top"/>
    </xf>
    <xf numFmtId="188" fontId="42" fillId="2" borderId="19" xfId="2" applyNumberFormat="1" applyFont="1" applyFill="1" applyBorder="1" applyAlignment="1">
      <alignment horizontal="right" vertical="top"/>
    </xf>
    <xf numFmtId="3" fontId="43" fillId="0" borderId="25" xfId="5" applyNumberFormat="1" applyFont="1" applyFill="1" applyBorder="1" applyAlignment="1">
      <alignment vertical="top"/>
    </xf>
    <xf numFmtId="0" fontId="35" fillId="0" borderId="18" xfId="3" applyFont="1" applyFill="1" applyBorder="1" applyAlignment="1">
      <alignment horizontal="right" vertical="top" wrapText="1"/>
    </xf>
    <xf numFmtId="0" fontId="44" fillId="0" borderId="0" xfId="3" applyFont="1" applyFill="1" applyBorder="1" applyAlignment="1">
      <alignment horizontal="right" vertical="top" wrapText="1"/>
    </xf>
    <xf numFmtId="3" fontId="43" fillId="0" borderId="19" xfId="5" applyNumberFormat="1" applyFont="1" applyFill="1" applyBorder="1" applyAlignment="1">
      <alignment vertical="top"/>
    </xf>
    <xf numFmtId="0" fontId="36" fillId="0" borderId="0" xfId="5" applyFont="1" applyFill="1" applyBorder="1" applyAlignment="1">
      <alignment horizontal="center" vertical="top"/>
    </xf>
    <xf numFmtId="0" fontId="34" fillId="0" borderId="0" xfId="5" applyFont="1" applyFill="1" applyBorder="1" applyAlignment="1">
      <alignment vertical="top"/>
    </xf>
    <xf numFmtId="188" fontId="36" fillId="14" borderId="29" xfId="2" applyNumberFormat="1" applyFont="1" applyFill="1" applyBorder="1" applyAlignment="1">
      <alignment horizontal="right" vertical="top"/>
    </xf>
    <xf numFmtId="3" fontId="36" fillId="0" borderId="31" xfId="5" applyNumberFormat="1" applyFont="1" applyFill="1" applyBorder="1" applyAlignment="1">
      <alignment horizontal="right" vertical="center"/>
    </xf>
    <xf numFmtId="0" fontId="39" fillId="2" borderId="29" xfId="5" applyFont="1" applyFill="1" applyBorder="1" applyAlignment="1">
      <alignment horizontal="right" vertical="top"/>
    </xf>
    <xf numFmtId="3" fontId="36" fillId="0" borderId="29" xfId="5" applyNumberFormat="1" applyFont="1" applyFill="1" applyBorder="1" applyAlignment="1">
      <alignment horizontal="right" vertical="center"/>
    </xf>
    <xf numFmtId="0" fontId="36" fillId="0" borderId="29" xfId="5" applyFont="1" applyFill="1" applyBorder="1" applyAlignment="1">
      <alignment horizontal="center" vertical="top"/>
    </xf>
    <xf numFmtId="0" fontId="36" fillId="0" borderId="25" xfId="5" applyFont="1" applyFill="1" applyBorder="1"/>
    <xf numFmtId="0" fontId="36" fillId="2" borderId="19" xfId="5" applyFont="1" applyFill="1" applyBorder="1" applyAlignment="1">
      <alignment horizontal="left" vertical="center" wrapText="1"/>
    </xf>
    <xf numFmtId="0" fontId="36" fillId="0" borderId="19" xfId="5" applyFont="1" applyFill="1" applyBorder="1"/>
    <xf numFmtId="0" fontId="36" fillId="2" borderId="19" xfId="5" applyFont="1" applyFill="1" applyBorder="1" applyAlignment="1">
      <alignment horizontal="left" vertical="top" wrapText="1"/>
    </xf>
    <xf numFmtId="0" fontId="36" fillId="0" borderId="19" xfId="5" applyFont="1" applyFill="1" applyBorder="1" applyAlignment="1">
      <alignment wrapText="1"/>
    </xf>
    <xf numFmtId="0" fontId="36" fillId="0" borderId="24" xfId="5" applyFont="1" applyFill="1" applyBorder="1"/>
    <xf numFmtId="188" fontId="36" fillId="0" borderId="31" xfId="2" applyNumberFormat="1" applyFont="1" applyFill="1" applyBorder="1" applyAlignment="1">
      <alignment horizontal="right" vertical="top"/>
    </xf>
    <xf numFmtId="188" fontId="36" fillId="2" borderId="31" xfId="2" applyNumberFormat="1" applyFont="1" applyFill="1" applyBorder="1" applyAlignment="1">
      <alignment horizontal="right" vertical="top"/>
    </xf>
    <xf numFmtId="0" fontId="36" fillId="2" borderId="29" xfId="5" applyFont="1" applyFill="1" applyBorder="1" applyAlignment="1">
      <alignment horizontal="center" vertical="top"/>
    </xf>
    <xf numFmtId="0" fontId="35" fillId="2" borderId="24" xfId="5" applyFont="1" applyFill="1" applyBorder="1" applyAlignment="1">
      <alignment vertical="top"/>
    </xf>
    <xf numFmtId="0" fontId="32" fillId="2" borderId="31" xfId="1" applyFont="1" applyFill="1" applyBorder="1" applyAlignment="1">
      <alignment horizontal="center" vertical="top" wrapText="1"/>
    </xf>
    <xf numFmtId="0" fontId="35" fillId="14" borderId="29" xfId="5" applyFont="1" applyFill="1" applyBorder="1" applyAlignment="1">
      <alignment horizontal="center" vertical="top"/>
    </xf>
    <xf numFmtId="0" fontId="35" fillId="14" borderId="24" xfId="5" applyFont="1" applyFill="1" applyBorder="1" applyAlignment="1">
      <alignment vertical="top" wrapText="1"/>
    </xf>
    <xf numFmtId="0" fontId="36" fillId="14" borderId="31" xfId="5" applyFont="1" applyFill="1" applyBorder="1" applyAlignment="1">
      <alignment horizontal="center" vertical="top"/>
    </xf>
    <xf numFmtId="0" fontId="35" fillId="14" borderId="26" xfId="5" applyFont="1" applyFill="1" applyBorder="1" applyAlignment="1">
      <alignment vertical="top" wrapText="1"/>
    </xf>
    <xf numFmtId="188" fontId="36" fillId="14" borderId="31" xfId="2" applyNumberFormat="1" applyFont="1" applyFill="1" applyBorder="1" applyAlignment="1">
      <alignment horizontal="right" vertical="top"/>
    </xf>
    <xf numFmtId="0" fontId="35" fillId="14" borderId="28" xfId="5" applyFont="1" applyFill="1" applyBorder="1" applyAlignment="1">
      <alignment horizontal="center" vertical="top"/>
    </xf>
    <xf numFmtId="0" fontId="35" fillId="14" borderId="21" xfId="5" applyFont="1" applyFill="1" applyBorder="1" applyAlignment="1">
      <alignment vertical="top" wrapText="1"/>
    </xf>
    <xf numFmtId="188" fontId="42" fillId="14" borderId="28" xfId="2" applyNumberFormat="1" applyFont="1" applyFill="1" applyBorder="1" applyAlignment="1">
      <alignment horizontal="right" vertical="top"/>
    </xf>
    <xf numFmtId="0" fontId="35" fillId="14" borderId="24" xfId="5" applyFont="1" applyFill="1" applyBorder="1" applyAlignment="1">
      <alignment vertical="top"/>
    </xf>
    <xf numFmtId="0" fontId="35" fillId="2" borderId="29" xfId="1" applyFont="1" applyFill="1" applyBorder="1" applyAlignment="1">
      <alignment horizontal="center"/>
    </xf>
    <xf numFmtId="187" fontId="35" fillId="2" borderId="25" xfId="2" applyFont="1" applyFill="1" applyBorder="1" applyAlignment="1">
      <alignment horizontal="center"/>
    </xf>
    <xf numFmtId="0" fontId="35" fillId="2" borderId="31" xfId="1" applyFont="1" applyFill="1" applyBorder="1" applyAlignment="1">
      <alignment horizontal="center" vertical="top" wrapText="1"/>
    </xf>
    <xf numFmtId="0" fontId="35" fillId="6" borderId="24" xfId="3" applyFont="1" applyFill="1" applyBorder="1" applyAlignment="1">
      <alignment vertical="top"/>
    </xf>
    <xf numFmtId="2" fontId="36" fillId="0" borderId="32" xfId="3" applyNumberFormat="1" applyFont="1" applyFill="1" applyBorder="1" applyAlignment="1">
      <alignment horizontal="center" vertical="top"/>
    </xf>
    <xf numFmtId="3" fontId="35" fillId="7" borderId="25" xfId="3" applyNumberFormat="1" applyFont="1" applyFill="1" applyBorder="1" applyAlignment="1">
      <alignment vertical="top"/>
    </xf>
    <xf numFmtId="3" fontId="35" fillId="8" borderId="29" xfId="3" applyNumberFormat="1" applyFont="1" applyFill="1" applyBorder="1" applyAlignment="1">
      <alignment vertical="top"/>
    </xf>
    <xf numFmtId="0" fontId="35" fillId="0" borderId="30" xfId="3" applyFont="1" applyFill="1" applyBorder="1" applyAlignment="1">
      <alignment horizontal="center" vertical="top" wrapText="1"/>
    </xf>
    <xf numFmtId="0" fontId="39" fillId="0" borderId="30" xfId="3" applyFont="1" applyFill="1" applyBorder="1" applyAlignment="1">
      <alignment horizontal="right" vertical="top"/>
    </xf>
    <xf numFmtId="0" fontId="36" fillId="0" borderId="30" xfId="3" applyFont="1" applyFill="1" applyBorder="1" applyAlignment="1">
      <alignment horizontal="center" vertical="center" wrapText="1"/>
    </xf>
    <xf numFmtId="0" fontId="36" fillId="0" borderId="0" xfId="3" applyFont="1" applyFill="1" applyBorder="1" applyAlignment="1">
      <alignment vertical="center" wrapText="1"/>
    </xf>
    <xf numFmtId="0" fontId="35" fillId="9" borderId="29" xfId="3" applyFont="1" applyFill="1" applyBorder="1" applyAlignment="1">
      <alignment horizontal="center"/>
    </xf>
    <xf numFmtId="0" fontId="35" fillId="9" borderId="29" xfId="0" applyFont="1" applyFill="1" applyBorder="1" applyAlignment="1">
      <alignment horizontal="center" vertical="top" wrapText="1"/>
    </xf>
    <xf numFmtId="0" fontId="35" fillId="9" borderId="24" xfId="0" applyFont="1" applyFill="1" applyBorder="1" applyAlignment="1">
      <alignment vertical="top"/>
    </xf>
    <xf numFmtId="0" fontId="35" fillId="9" borderId="25" xfId="0" applyFont="1" applyFill="1" applyBorder="1" applyAlignment="1">
      <alignment vertical="top"/>
    </xf>
    <xf numFmtId="0" fontId="35" fillId="9" borderId="31" xfId="0" applyFont="1" applyFill="1" applyBorder="1" applyAlignment="1">
      <alignment horizontal="center" vertical="top" wrapText="1"/>
    </xf>
    <xf numFmtId="0" fontId="35" fillId="9" borderId="26" xfId="0" applyFont="1" applyFill="1" applyBorder="1" applyAlignment="1">
      <alignment horizontal="left" vertical="top" wrapText="1"/>
    </xf>
    <xf numFmtId="0" fontId="35" fillId="9" borderId="27" xfId="0" applyFont="1" applyFill="1" applyBorder="1" applyAlignment="1">
      <alignment horizontal="left" vertical="top" wrapText="1"/>
    </xf>
    <xf numFmtId="0" fontId="35" fillId="2" borderId="29" xfId="0" applyFont="1" applyFill="1" applyBorder="1" applyAlignment="1">
      <alignment horizontal="center" vertical="top" wrapText="1"/>
    </xf>
    <xf numFmtId="0" fontId="35" fillId="2" borderId="24" xfId="0" applyFont="1" applyFill="1" applyBorder="1" applyAlignment="1">
      <alignment horizontal="right" vertical="top" wrapText="1"/>
    </xf>
    <xf numFmtId="0" fontId="40" fillId="0" borderId="29" xfId="0" applyFont="1" applyFill="1" applyBorder="1" applyAlignment="1">
      <alignment horizontal="right" vertical="center"/>
    </xf>
    <xf numFmtId="0" fontId="36" fillId="0" borderId="0" xfId="0" applyFont="1" applyFill="1" applyBorder="1" applyAlignment="1"/>
    <xf numFmtId="0" fontId="36" fillId="2" borderId="0" xfId="0" applyFont="1" applyFill="1" applyBorder="1" applyAlignment="1">
      <alignment horizontal="left" vertical="top"/>
    </xf>
    <xf numFmtId="0" fontId="36" fillId="2" borderId="0" xfId="0" applyFont="1" applyFill="1" applyBorder="1" applyAlignment="1">
      <alignment horizontal="left" vertical="top" wrapText="1"/>
    </xf>
    <xf numFmtId="3" fontId="36" fillId="0" borderId="19" xfId="3" applyNumberFormat="1" applyFont="1" applyFill="1" applyBorder="1" applyAlignment="1">
      <alignment horizontal="right" vertical="center"/>
    </xf>
    <xf numFmtId="0" fontId="35" fillId="9" borderId="20" xfId="3" applyFont="1" applyFill="1" applyBorder="1" applyAlignment="1">
      <alignment vertical="top"/>
    </xf>
    <xf numFmtId="0" fontId="35" fillId="0" borderId="0" xfId="3" applyFont="1" applyFill="1" applyBorder="1" applyAlignment="1">
      <alignment vertical="top"/>
    </xf>
    <xf numFmtId="189" fontId="35" fillId="8" borderId="30" xfId="3" applyNumberFormat="1" applyFont="1" applyFill="1" applyBorder="1" applyAlignment="1">
      <alignment horizontal="center" vertical="top"/>
    </xf>
    <xf numFmtId="0" fontId="35" fillId="8" borderId="0" xfId="3" applyFont="1" applyFill="1" applyBorder="1" applyAlignment="1">
      <alignment horizontal="left" vertical="top" wrapText="1"/>
    </xf>
    <xf numFmtId="0" fontId="39" fillId="8" borderId="19" xfId="3" applyFont="1" applyFill="1" applyBorder="1" applyAlignment="1">
      <alignment horizontal="right" vertical="top"/>
    </xf>
    <xf numFmtId="0" fontId="40" fillId="2" borderId="29" xfId="3" applyFont="1" applyFill="1" applyBorder="1" applyAlignment="1">
      <alignment horizontal="right" vertical="top"/>
    </xf>
    <xf numFmtId="0" fontId="36" fillId="0" borderId="18" xfId="3" applyFont="1" applyFill="1" applyBorder="1" applyAlignment="1">
      <alignment horizontal="center" vertical="top"/>
    </xf>
    <xf numFmtId="188" fontId="36" fillId="9" borderId="28" xfId="2" applyNumberFormat="1" applyFont="1" applyFill="1" applyBorder="1" applyAlignment="1">
      <alignment horizontal="right" vertical="top"/>
    </xf>
    <xf numFmtId="0" fontId="39" fillId="2" borderId="0" xfId="3" applyFont="1" applyFill="1" applyBorder="1" applyAlignment="1">
      <alignment vertical="top"/>
    </xf>
    <xf numFmtId="0" fontId="35" fillId="9" borderId="28" xfId="0" applyFont="1" applyFill="1" applyBorder="1" applyAlignment="1">
      <alignment horizontal="center" vertical="center"/>
    </xf>
    <xf numFmtId="0" fontId="35" fillId="9" borderId="20" xfId="0" applyFont="1" applyFill="1" applyBorder="1" applyAlignment="1">
      <alignment vertical="center" wrapText="1"/>
    </xf>
    <xf numFmtId="0" fontId="35" fillId="9" borderId="22" xfId="0" applyFont="1" applyFill="1" applyBorder="1" applyAlignment="1">
      <alignment vertical="center" wrapText="1"/>
    </xf>
    <xf numFmtId="0" fontId="35" fillId="2" borderId="24" xfId="3" applyFont="1" applyFill="1" applyBorder="1" applyAlignment="1">
      <alignment vertical="top"/>
    </xf>
    <xf numFmtId="0" fontId="36" fillId="0" borderId="31" xfId="0" applyFont="1" applyFill="1" applyBorder="1" applyAlignment="1">
      <alignment vertical="top"/>
    </xf>
    <xf numFmtId="0" fontId="36" fillId="8" borderId="31" xfId="3" applyFont="1" applyFill="1" applyBorder="1" applyAlignment="1">
      <alignment horizontal="center" vertical="top"/>
    </xf>
    <xf numFmtId="0" fontId="35" fillId="8" borderId="26" xfId="3" applyFont="1" applyFill="1" applyBorder="1" applyAlignment="1">
      <alignment vertical="top"/>
    </xf>
    <xf numFmtId="0" fontId="36" fillId="9" borderId="28" xfId="3" applyFont="1" applyFill="1" applyBorder="1" applyAlignment="1">
      <alignment vertical="top"/>
    </xf>
    <xf numFmtId="188" fontId="36" fillId="0" borderId="29" xfId="2" applyNumberFormat="1" applyFont="1" applyFill="1" applyBorder="1" applyAlignment="1">
      <alignment horizontal="right" vertical="top"/>
    </xf>
    <xf numFmtId="0" fontId="36" fillId="9" borderId="28" xfId="3" applyFont="1" applyFill="1" applyBorder="1" applyAlignment="1">
      <alignment vertical="top" wrapText="1"/>
    </xf>
    <xf numFmtId="189" fontId="35" fillId="9" borderId="31" xfId="3" applyNumberFormat="1" applyFont="1" applyFill="1" applyBorder="1" applyAlignment="1">
      <alignment horizontal="center" vertical="top"/>
    </xf>
    <xf numFmtId="0" fontId="39" fillId="9" borderId="22" xfId="3" applyFont="1" applyFill="1" applyBorder="1" applyAlignment="1">
      <alignment horizontal="right" vertical="top"/>
    </xf>
    <xf numFmtId="0" fontId="39" fillId="2" borderId="30" xfId="3" applyFont="1" applyFill="1" applyBorder="1" applyAlignment="1">
      <alignment horizontal="right" vertical="top"/>
    </xf>
    <xf numFmtId="0" fontId="36" fillId="9" borderId="28" xfId="3" applyFont="1" applyFill="1" applyBorder="1" applyAlignment="1">
      <alignment horizontal="center" vertical="top"/>
    </xf>
    <xf numFmtId="188" fontId="37" fillId="2" borderId="31" xfId="3" applyNumberFormat="1" applyFont="1" applyFill="1" applyBorder="1" applyAlignment="1">
      <alignment horizontal="right" vertical="top"/>
    </xf>
    <xf numFmtId="188" fontId="39" fillId="2" borderId="19" xfId="3" applyNumberFormat="1" applyFont="1" applyFill="1" applyBorder="1" applyAlignment="1">
      <alignment horizontal="right" vertical="top"/>
    </xf>
    <xf numFmtId="0" fontId="36" fillId="9" borderId="21" xfId="3" applyFont="1" applyFill="1" applyBorder="1" applyAlignment="1">
      <alignment vertical="top"/>
    </xf>
    <xf numFmtId="188" fontId="45" fillId="9" borderId="22" xfId="2" applyNumberFormat="1" applyFont="1" applyFill="1" applyBorder="1" applyAlignment="1">
      <alignment horizontal="right" vertical="top"/>
    </xf>
    <xf numFmtId="188" fontId="45" fillId="0" borderId="19" xfId="2" applyNumberFormat="1" applyFont="1" applyFill="1" applyBorder="1" applyAlignment="1">
      <alignment horizontal="right" vertical="top"/>
    </xf>
    <xf numFmtId="0" fontId="40" fillId="9" borderId="19" xfId="3" applyFont="1" applyFill="1" applyBorder="1" applyAlignment="1">
      <alignment horizontal="right" vertical="top"/>
    </xf>
    <xf numFmtId="188" fontId="46" fillId="0" borderId="30" xfId="2" applyNumberFormat="1" applyFont="1" applyFill="1" applyBorder="1" applyAlignment="1">
      <alignment horizontal="right" vertical="top"/>
    </xf>
    <xf numFmtId="0" fontId="39" fillId="9" borderId="25" xfId="3" applyFont="1" applyFill="1" applyBorder="1" applyAlignment="1">
      <alignment horizontal="right" vertical="top"/>
    </xf>
    <xf numFmtId="0" fontId="39" fillId="9" borderId="27" xfId="3" applyFont="1" applyFill="1" applyBorder="1" applyAlignment="1">
      <alignment horizontal="right" vertical="top"/>
    </xf>
    <xf numFmtId="0" fontId="40" fillId="9" borderId="28" xfId="3" applyFont="1" applyFill="1" applyBorder="1" applyAlignment="1">
      <alignment horizontal="right" vertical="top"/>
    </xf>
    <xf numFmtId="188" fontId="37" fillId="9" borderId="28" xfId="2" applyNumberFormat="1" applyFont="1" applyFill="1" applyBorder="1" applyAlignment="1">
      <alignment horizontal="right" vertical="top"/>
    </xf>
    <xf numFmtId="0" fontId="35" fillId="9" borderId="28" xfId="3" applyFont="1" applyFill="1" applyBorder="1" applyAlignment="1">
      <alignment horizontal="right" vertical="top"/>
    </xf>
    <xf numFmtId="188" fontId="37" fillId="2" borderId="31" xfId="2" applyNumberFormat="1" applyFont="1" applyFill="1" applyBorder="1" applyAlignment="1">
      <alignment horizontal="right" vertical="top"/>
    </xf>
    <xf numFmtId="0" fontId="36" fillId="9" borderId="31" xfId="3" applyFont="1" applyFill="1" applyBorder="1" applyAlignment="1">
      <alignment horizontal="center" vertical="top"/>
    </xf>
    <xf numFmtId="188" fontId="36" fillId="0" borderId="30" xfId="0" applyNumberFormat="1" applyFont="1" applyFill="1" applyBorder="1" applyAlignment="1">
      <alignment horizontal="center" vertical="top"/>
    </xf>
    <xf numFmtId="188" fontId="42" fillId="0" borderId="29" xfId="2" applyNumberFormat="1" applyFont="1" applyFill="1" applyBorder="1" applyAlignment="1">
      <alignment horizontal="right" vertical="top"/>
    </xf>
    <xf numFmtId="188" fontId="45" fillId="2" borderId="30" xfId="9" applyNumberFormat="1" applyFont="1" applyFill="1" applyBorder="1" applyAlignment="1">
      <alignment horizontal="right" vertical="top"/>
    </xf>
    <xf numFmtId="0" fontId="39" fillId="0" borderId="29" xfId="3" applyFont="1" applyFill="1" applyBorder="1" applyAlignment="1">
      <alignment horizontal="right" vertical="top"/>
    </xf>
    <xf numFmtId="0" fontId="36" fillId="0" borderId="0" xfId="3" applyFont="1" applyFill="1" applyBorder="1" applyAlignment="1">
      <alignment horizontal="left" vertical="center" wrapText="1"/>
    </xf>
    <xf numFmtId="0" fontId="36" fillId="0" borderId="0" xfId="3" applyFont="1" applyFill="1" applyBorder="1" applyAlignment="1">
      <alignment horizontal="left" vertical="top" wrapText="1"/>
    </xf>
    <xf numFmtId="0" fontId="36" fillId="9" borderId="29" xfId="3" applyFont="1" applyFill="1" applyBorder="1" applyAlignment="1">
      <alignment horizontal="center" vertical="top"/>
    </xf>
    <xf numFmtId="3" fontId="40" fillId="0" borderId="30" xfId="3" applyNumberFormat="1" applyFont="1" applyFill="1" applyBorder="1" applyAlignment="1">
      <alignment horizontal="right" vertical="center"/>
    </xf>
    <xf numFmtId="2" fontId="35" fillId="8" borderId="29" xfId="3" applyNumberFormat="1" applyFont="1" applyFill="1" applyBorder="1" applyAlignment="1">
      <alignment horizontal="center" vertical="top"/>
    </xf>
    <xf numFmtId="0" fontId="36" fillId="0" borderId="18" xfId="0" applyFont="1" applyFill="1" applyBorder="1" applyAlignment="1">
      <alignment horizontal="left" vertical="top" wrapText="1"/>
    </xf>
    <xf numFmtId="189" fontId="35" fillId="0" borderId="30" xfId="3" applyNumberFormat="1" applyFont="1" applyFill="1" applyBorder="1" applyAlignment="1">
      <alignment horizontal="center" vertical="top"/>
    </xf>
    <xf numFmtId="0" fontId="36" fillId="0" borderId="24" xfId="3" applyFont="1" applyFill="1" applyBorder="1" applyAlignment="1">
      <alignment vertical="top"/>
    </xf>
    <xf numFmtId="188" fontId="45" fillId="0" borderId="25" xfId="2" applyNumberFormat="1" applyFont="1" applyFill="1" applyBorder="1" applyAlignment="1">
      <alignment horizontal="right" vertical="top"/>
    </xf>
    <xf numFmtId="188" fontId="45" fillId="0" borderId="27" xfId="2" applyNumberFormat="1" applyFont="1" applyFill="1" applyBorder="1" applyAlignment="1">
      <alignment horizontal="right" vertical="top"/>
    </xf>
    <xf numFmtId="0" fontId="36" fillId="9" borderId="22" xfId="3" applyFont="1" applyFill="1" applyBorder="1" applyAlignment="1">
      <alignment vertical="top"/>
    </xf>
    <xf numFmtId="0" fontId="36" fillId="2" borderId="24" xfId="3" applyFont="1" applyFill="1" applyBorder="1" applyAlignment="1">
      <alignment vertical="top"/>
    </xf>
    <xf numFmtId="188" fontId="42" fillId="2" borderId="25" xfId="2" applyNumberFormat="1" applyFont="1" applyFill="1" applyBorder="1" applyAlignment="1">
      <alignment horizontal="right" vertical="top"/>
    </xf>
    <xf numFmtId="0" fontId="35" fillId="0" borderId="26" xfId="3" applyFont="1" applyFill="1" applyBorder="1" applyAlignment="1">
      <alignment vertical="top"/>
    </xf>
    <xf numFmtId="188" fontId="42" fillId="0" borderId="27" xfId="2" applyNumberFormat="1" applyFont="1" applyFill="1" applyBorder="1" applyAlignment="1">
      <alignment horizontal="right" vertical="top"/>
    </xf>
    <xf numFmtId="0" fontId="35" fillId="0" borderId="24" xfId="3" applyFont="1" applyFill="1" applyBorder="1" applyAlignment="1">
      <alignment vertical="top"/>
    </xf>
    <xf numFmtId="188" fontId="42" fillId="0" borderId="25" xfId="2" applyNumberFormat="1" applyFont="1" applyFill="1" applyBorder="1" applyAlignment="1">
      <alignment horizontal="right" vertical="top"/>
    </xf>
    <xf numFmtId="0" fontId="35" fillId="9" borderId="28" xfId="3" applyFont="1" applyFill="1" applyBorder="1" applyAlignment="1">
      <alignment horizontal="left" vertical="top"/>
    </xf>
    <xf numFmtId="0" fontId="36" fillId="2" borderId="30" xfId="3" applyFont="1" applyFill="1" applyBorder="1" applyAlignment="1">
      <alignment vertical="top"/>
    </xf>
    <xf numFmtId="0" fontId="35" fillId="9" borderId="28" xfId="3" applyFont="1" applyFill="1" applyBorder="1" applyAlignment="1">
      <alignment horizontal="left" vertical="top" wrapText="1"/>
    </xf>
    <xf numFmtId="0" fontId="36" fillId="0" borderId="30" xfId="3" applyFont="1" applyFill="1" applyBorder="1"/>
    <xf numFmtId="0" fontId="36" fillId="0" borderId="31" xfId="3" applyFont="1" applyFill="1" applyBorder="1" applyAlignment="1">
      <alignment wrapText="1"/>
    </xf>
    <xf numFmtId="0" fontId="36" fillId="2" borderId="29" xfId="3" applyFont="1" applyFill="1" applyBorder="1" applyAlignment="1">
      <alignment vertical="top"/>
    </xf>
    <xf numFmtId="0" fontId="35" fillId="9" borderId="20" xfId="3" applyFont="1" applyFill="1" applyBorder="1" applyAlignment="1">
      <alignment horizontal="left" vertical="top"/>
    </xf>
    <xf numFmtId="188" fontId="36" fillId="0" borderId="31" xfId="0" applyNumberFormat="1" applyFont="1" applyFill="1" applyBorder="1" applyAlignment="1">
      <alignment horizontal="center" vertical="top"/>
    </xf>
    <xf numFmtId="0" fontId="36" fillId="0" borderId="32" xfId="3" applyFont="1" applyFill="1" applyBorder="1" applyAlignment="1">
      <alignment vertical="top" wrapText="1"/>
    </xf>
    <xf numFmtId="0" fontId="36" fillId="0" borderId="20" xfId="3" applyFont="1" applyFill="1" applyBorder="1" applyAlignment="1">
      <alignment horizontal="center" vertical="top"/>
    </xf>
    <xf numFmtId="0" fontId="36" fillId="2" borderId="20" xfId="3" applyFont="1" applyFill="1" applyBorder="1" applyAlignment="1">
      <alignment horizontal="center" vertical="top"/>
    </xf>
    <xf numFmtId="0" fontId="36" fillId="20" borderId="20" xfId="3" applyFont="1" applyFill="1" applyBorder="1" applyAlignment="1">
      <alignment horizontal="center" vertical="top"/>
    </xf>
    <xf numFmtId="188" fontId="36" fillId="0" borderId="31" xfId="2" applyNumberFormat="1" applyFont="1" applyFill="1" applyBorder="1" applyAlignment="1">
      <alignment vertical="top"/>
    </xf>
    <xf numFmtId="3" fontId="36" fillId="0" borderId="27" xfId="3" applyNumberFormat="1" applyFont="1" applyFill="1" applyBorder="1" applyAlignment="1">
      <alignment horizontal="right" vertical="center"/>
    </xf>
    <xf numFmtId="0" fontId="36" fillId="2" borderId="26" xfId="3" applyFont="1" applyFill="1" applyBorder="1" applyAlignment="1">
      <alignment horizontal="left" vertical="top" wrapText="1"/>
    </xf>
    <xf numFmtId="0" fontId="36" fillId="2" borderId="24" xfId="3" applyFont="1" applyFill="1" applyBorder="1" applyAlignment="1">
      <alignment horizontal="left" vertical="top" wrapText="1"/>
    </xf>
    <xf numFmtId="0" fontId="35" fillId="2" borderId="26" xfId="3" applyFont="1" applyFill="1" applyBorder="1" applyAlignment="1">
      <alignment vertical="top"/>
    </xf>
    <xf numFmtId="0" fontId="36" fillId="0" borderId="26" xfId="3" applyFont="1" applyFill="1" applyBorder="1"/>
    <xf numFmtId="0" fontId="39" fillId="0" borderId="24" xfId="3" applyFont="1" applyFill="1" applyBorder="1" applyAlignment="1">
      <alignment vertical="top"/>
    </xf>
    <xf numFmtId="0" fontId="7" fillId="0" borderId="0" xfId="0" applyFont="1" applyFill="1" applyBorder="1"/>
    <xf numFmtId="0" fontId="7" fillId="0" borderId="3" xfId="0" applyFont="1" applyFill="1" applyBorder="1"/>
    <xf numFmtId="0" fontId="25" fillId="0" borderId="49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50" xfId="0" applyFont="1" applyFill="1" applyBorder="1"/>
    <xf numFmtId="3" fontId="25" fillId="0" borderId="50" xfId="0" applyNumberFormat="1" applyFont="1" applyFill="1" applyBorder="1" applyAlignment="1">
      <alignment horizontal="center"/>
    </xf>
    <xf numFmtId="0" fontId="7" fillId="0" borderId="51" xfId="0" applyFont="1" applyFill="1" applyBorder="1"/>
    <xf numFmtId="0" fontId="24" fillId="0" borderId="52" xfId="0" applyFont="1" applyFill="1" applyBorder="1"/>
    <xf numFmtId="3" fontId="24" fillId="0" borderId="52" xfId="0" applyNumberFormat="1" applyFont="1" applyFill="1" applyBorder="1" applyAlignment="1">
      <alignment vertical="top"/>
    </xf>
    <xf numFmtId="0" fontId="7" fillId="0" borderId="53" xfId="0" applyFont="1" applyFill="1" applyBorder="1"/>
    <xf numFmtId="0" fontId="24" fillId="0" borderId="53" xfId="0" applyFont="1" applyFill="1" applyBorder="1" applyAlignment="1">
      <alignment wrapText="1"/>
    </xf>
    <xf numFmtId="3" fontId="24" fillId="0" borderId="53" xfId="0" applyNumberFormat="1" applyFont="1" applyFill="1" applyBorder="1" applyAlignment="1">
      <alignment vertical="top"/>
    </xf>
    <xf numFmtId="0" fontId="7" fillId="0" borderId="54" xfId="0" applyFont="1" applyFill="1" applyBorder="1"/>
    <xf numFmtId="0" fontId="24" fillId="0" borderId="54" xfId="0" applyFont="1" applyFill="1" applyBorder="1" applyAlignment="1">
      <alignment vertical="center" wrapText="1"/>
    </xf>
    <xf numFmtId="3" fontId="24" fillId="0" borderId="54" xfId="0" applyNumberFormat="1" applyFont="1" applyFill="1" applyBorder="1" applyAlignment="1">
      <alignment vertical="top"/>
    </xf>
    <xf numFmtId="0" fontId="25" fillId="0" borderId="3" xfId="0" applyFont="1" applyFill="1" applyBorder="1"/>
    <xf numFmtId="3" fontId="25" fillId="0" borderId="3" xfId="0" applyNumberFormat="1" applyFont="1" applyFill="1" applyBorder="1" applyAlignment="1">
      <alignment horizontal="center"/>
    </xf>
    <xf numFmtId="0" fontId="24" fillId="0" borderId="51" xfId="0" applyFont="1" applyFill="1" applyBorder="1" applyAlignment="1">
      <alignment horizontal="left" wrapText="1"/>
    </xf>
    <xf numFmtId="3" fontId="7" fillId="0" borderId="51" xfId="0" applyNumberFormat="1" applyFont="1" applyFill="1" applyBorder="1" applyAlignment="1">
      <alignment horizontal="center" vertical="top"/>
    </xf>
    <xf numFmtId="0" fontId="6" fillId="0" borderId="0" xfId="0" applyFont="1" applyFill="1" applyBorder="1"/>
    <xf numFmtId="0" fontId="7" fillId="0" borderId="55" xfId="0" applyFont="1" applyFill="1" applyBorder="1"/>
    <xf numFmtId="0" fontId="24" fillId="0" borderId="55" xfId="0" applyFont="1" applyFill="1" applyBorder="1"/>
    <xf numFmtId="0" fontId="24" fillId="0" borderId="51" xfId="0" applyFont="1" applyFill="1" applyBorder="1" applyAlignment="1">
      <alignment wrapText="1"/>
    </xf>
    <xf numFmtId="3" fontId="7" fillId="0" borderId="0" xfId="0" applyNumberFormat="1" applyFont="1" applyFill="1" applyBorder="1"/>
    <xf numFmtId="0" fontId="24" fillId="0" borderId="53" xfId="0" applyFont="1" applyFill="1" applyBorder="1" applyAlignment="1">
      <alignment horizontal="justify" vertical="center"/>
    </xf>
    <xf numFmtId="3" fontId="7" fillId="0" borderId="53" xfId="0" applyNumberFormat="1" applyFont="1" applyFill="1" applyBorder="1" applyAlignment="1">
      <alignment horizontal="center"/>
    </xf>
    <xf numFmtId="0" fontId="24" fillId="0" borderId="55" xfId="0" applyFont="1" applyFill="1" applyBorder="1" applyAlignment="1">
      <alignment vertical="center"/>
    </xf>
    <xf numFmtId="0" fontId="7" fillId="0" borderId="56" xfId="0" applyFont="1" applyFill="1" applyBorder="1"/>
    <xf numFmtId="0" fontId="7" fillId="0" borderId="46" xfId="0" applyFont="1" applyFill="1" applyBorder="1"/>
    <xf numFmtId="0" fontId="7" fillId="0" borderId="1" xfId="0" applyFont="1" applyFill="1" applyBorder="1"/>
    <xf numFmtId="0" fontId="7" fillId="0" borderId="57" xfId="0" applyFont="1" applyFill="1" applyBorder="1"/>
    <xf numFmtId="0" fontId="25" fillId="0" borderId="0" xfId="0" applyFont="1" applyFill="1" applyBorder="1" applyAlignment="1">
      <alignment horizontal="right"/>
    </xf>
    <xf numFmtId="3" fontId="25" fillId="0" borderId="2" xfId="0" applyNumberFormat="1" applyFont="1" applyFill="1" applyBorder="1"/>
    <xf numFmtId="0" fontId="7" fillId="0" borderId="58" xfId="0" applyFont="1" applyFill="1" applyBorder="1"/>
    <xf numFmtId="0" fontId="47" fillId="0" borderId="16" xfId="0" applyFont="1" applyFill="1" applyBorder="1" applyAlignment="1">
      <alignment horizontal="right"/>
    </xf>
    <xf numFmtId="0" fontId="7" fillId="0" borderId="47" xfId="0" applyFont="1" applyFill="1" applyBorder="1"/>
    <xf numFmtId="0" fontId="10" fillId="21" borderId="28" xfId="0" applyFont="1" applyFill="1" applyBorder="1" applyAlignment="1">
      <alignment horizontal="left"/>
    </xf>
    <xf numFmtId="49" fontId="11" fillId="21" borderId="20" xfId="0" applyNumberFormat="1" applyFont="1" applyFill="1" applyBorder="1"/>
    <xf numFmtId="0" fontId="10" fillId="21" borderId="28" xfId="0" applyNumberFormat="1" applyFont="1" applyFill="1" applyBorder="1" applyAlignment="1">
      <alignment horizontal="center" vertical="top" wrapText="1"/>
    </xf>
    <xf numFmtId="0" fontId="10" fillId="21" borderId="28" xfId="0" applyFont="1" applyFill="1" applyBorder="1" applyAlignment="1">
      <alignment horizontal="center" vertical="top" wrapText="1"/>
    </xf>
    <xf numFmtId="0" fontId="10" fillId="21" borderId="28" xfId="0" applyFont="1" applyFill="1" applyBorder="1" applyAlignment="1">
      <alignment horizontal="center"/>
    </xf>
    <xf numFmtId="0" fontId="10" fillId="21" borderId="22" xfId="0" applyFont="1" applyFill="1" applyBorder="1" applyAlignment="1">
      <alignment horizontal="center"/>
    </xf>
    <xf numFmtId="0" fontId="29" fillId="13" borderId="1" xfId="0" applyFont="1" applyFill="1" applyBorder="1" applyAlignment="1">
      <alignment horizontal="center" vertical="center"/>
    </xf>
    <xf numFmtId="0" fontId="29" fillId="13" borderId="46" xfId="0" applyFont="1" applyFill="1" applyBorder="1" applyAlignment="1">
      <alignment horizontal="left" vertical="center" wrapText="1"/>
    </xf>
    <xf numFmtId="188" fontId="29" fillId="13" borderId="1" xfId="9" applyNumberFormat="1" applyFont="1" applyFill="1" applyBorder="1" applyAlignment="1">
      <alignment horizontal="right" vertical="center"/>
    </xf>
    <xf numFmtId="0" fontId="29" fillId="13" borderId="47" xfId="0" applyFont="1" applyFill="1" applyBorder="1" applyAlignment="1">
      <alignment horizontal="center" vertical="center"/>
    </xf>
    <xf numFmtId="0" fontId="29" fillId="13" borderId="50" xfId="0" applyFont="1" applyFill="1" applyBorder="1" applyAlignment="1">
      <alignment horizontal="left" vertical="center" wrapText="1"/>
    </xf>
    <xf numFmtId="188" fontId="29" fillId="13" borderId="47" xfId="9" applyNumberFormat="1" applyFont="1" applyFill="1" applyBorder="1" applyAlignment="1">
      <alignment horizontal="right" vertical="center"/>
    </xf>
    <xf numFmtId="0" fontId="12" fillId="0" borderId="69" xfId="0" applyFont="1" applyFill="1" applyBorder="1" applyAlignment="1">
      <alignment horizontal="center"/>
    </xf>
    <xf numFmtId="0" fontId="12" fillId="0" borderId="21" xfId="0" applyFont="1" applyFill="1" applyBorder="1" applyAlignment="1">
      <alignment vertical="top"/>
    </xf>
    <xf numFmtId="188" fontId="12" fillId="0" borderId="70" xfId="9" applyNumberFormat="1" applyFont="1" applyFill="1" applyBorder="1" applyAlignment="1">
      <alignment horizontal="right" vertical="top"/>
    </xf>
    <xf numFmtId="0" fontId="17" fillId="0" borderId="31" xfId="0" applyFont="1" applyFill="1" applyBorder="1"/>
    <xf numFmtId="3" fontId="19" fillId="0" borderId="28" xfId="0" applyNumberFormat="1" applyFont="1" applyFill="1" applyBorder="1"/>
    <xf numFmtId="0" fontId="17" fillId="0" borderId="28" xfId="0" quotePrefix="1" applyFont="1" applyFill="1" applyBorder="1" applyAlignment="1">
      <alignment vertical="center" wrapText="1"/>
    </xf>
    <xf numFmtId="4" fontId="19" fillId="0" borderId="28" xfId="0" applyNumberFormat="1" applyFont="1" applyFill="1" applyBorder="1"/>
    <xf numFmtId="0" fontId="19" fillId="0" borderId="28" xfId="0" applyFont="1" applyFill="1" applyBorder="1" applyAlignment="1">
      <alignment horizontal="left" wrapText="1" indent="2"/>
    </xf>
    <xf numFmtId="0" fontId="19" fillId="0" borderId="0" xfId="0" applyFont="1" applyFill="1" applyBorder="1" applyAlignment="1">
      <alignment horizontal="left" indent="2"/>
    </xf>
    <xf numFmtId="0" fontId="23" fillId="0" borderId="0" xfId="0" applyFont="1" applyFill="1" applyBorder="1" applyAlignment="1">
      <alignment horizontal="right"/>
    </xf>
    <xf numFmtId="0" fontId="48" fillId="0" borderId="0" xfId="0" applyFont="1" applyFill="1" applyBorder="1"/>
    <xf numFmtId="0" fontId="19" fillId="0" borderId="0" xfId="0" applyFont="1" applyFill="1" applyBorder="1" applyAlignment="1">
      <alignment horizontal="center" vertical="top"/>
    </xf>
    <xf numFmtId="0" fontId="19" fillId="0" borderId="28" xfId="0" applyFont="1" applyFill="1" applyBorder="1" applyAlignment="1">
      <alignment horizontal="center" vertical="top"/>
    </xf>
    <xf numFmtId="3" fontId="19" fillId="0" borderId="28" xfId="0" applyNumberFormat="1" applyFont="1" applyFill="1" applyBorder="1" applyAlignment="1">
      <alignment horizontal="center" vertical="top"/>
    </xf>
    <xf numFmtId="4" fontId="19" fillId="0" borderId="28" xfId="0" applyNumberFormat="1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0" fontId="17" fillId="0" borderId="30" xfId="0" applyFont="1" applyFill="1" applyBorder="1"/>
    <xf numFmtId="0" fontId="17" fillId="4" borderId="29" xfId="0" applyFont="1" applyFill="1" applyBorder="1"/>
    <xf numFmtId="0" fontId="13" fillId="4" borderId="29" xfId="0" applyFont="1" applyFill="1" applyBorder="1" applyAlignment="1">
      <alignment vertical="center" wrapText="1"/>
    </xf>
    <xf numFmtId="0" fontId="17" fillId="4" borderId="30" xfId="0" applyFont="1" applyFill="1" applyBorder="1"/>
    <xf numFmtId="0" fontId="13" fillId="4" borderId="30" xfId="0" applyFont="1" applyFill="1" applyBorder="1" applyAlignment="1">
      <alignment vertical="center" wrapText="1"/>
    </xf>
    <xf numFmtId="0" fontId="17" fillId="4" borderId="31" xfId="0" applyFont="1" applyFill="1" applyBorder="1"/>
    <xf numFmtId="0" fontId="13" fillId="4" borderId="31" xfId="0" applyFont="1" applyFill="1" applyBorder="1" applyAlignment="1">
      <alignment vertical="center" wrapText="1"/>
    </xf>
    <xf numFmtId="0" fontId="17" fillId="21" borderId="30" xfId="0" applyFont="1" applyFill="1" applyBorder="1"/>
    <xf numFmtId="0" fontId="13" fillId="21" borderId="71" xfId="0" applyFont="1" applyFill="1" applyBorder="1" applyAlignment="1">
      <alignment horizontal="center"/>
    </xf>
    <xf numFmtId="0" fontId="13" fillId="21" borderId="71" xfId="0" applyFont="1" applyFill="1" applyBorder="1" applyAlignment="1">
      <alignment horizontal="center" vertical="top"/>
    </xf>
    <xf numFmtId="0" fontId="13" fillId="21" borderId="28" xfId="0" applyFont="1" applyFill="1" applyBorder="1" applyAlignment="1">
      <alignment horizontal="left"/>
    </xf>
    <xf numFmtId="0" fontId="19" fillId="21" borderId="28" xfId="0" applyFont="1" applyFill="1" applyBorder="1" applyAlignment="1">
      <alignment horizontal="center" vertical="top"/>
    </xf>
    <xf numFmtId="0" fontId="50" fillId="3" borderId="24" xfId="0" applyFont="1" applyFill="1" applyBorder="1" applyAlignment="1"/>
    <xf numFmtId="0" fontId="50" fillId="3" borderId="0" xfId="0" applyFont="1" applyFill="1" applyBorder="1" applyAlignment="1">
      <alignment wrapText="1"/>
    </xf>
    <xf numFmtId="0" fontId="51" fillId="0" borderId="0" xfId="0" applyFont="1" applyFill="1" applyBorder="1"/>
    <xf numFmtId="4" fontId="13" fillId="21" borderId="71" xfId="0" applyNumberFormat="1" applyFont="1" applyFill="1" applyBorder="1"/>
    <xf numFmtId="4" fontId="13" fillId="21" borderId="28" xfId="0" applyNumberFormat="1" applyFont="1" applyFill="1" applyBorder="1"/>
    <xf numFmtId="0" fontId="13" fillId="19" borderId="28" xfId="0" applyFont="1" applyFill="1" applyBorder="1" applyAlignment="1"/>
    <xf numFmtId="0" fontId="19" fillId="19" borderId="28" xfId="0" applyFont="1" applyFill="1" applyBorder="1" applyAlignment="1">
      <alignment horizontal="center" vertical="top"/>
    </xf>
    <xf numFmtId="3" fontId="19" fillId="19" borderId="28" xfId="0" applyNumberFormat="1" applyFont="1" applyFill="1" applyBorder="1" applyAlignment="1">
      <alignment horizontal="center" vertical="top"/>
    </xf>
    <xf numFmtId="3" fontId="13" fillId="19" borderId="28" xfId="0" applyNumberFormat="1" applyFont="1" applyFill="1" applyBorder="1"/>
    <xf numFmtId="0" fontId="13" fillId="19" borderId="28" xfId="0" applyFont="1" applyFill="1" applyBorder="1" applyAlignment="1">
      <alignment vertical="top"/>
    </xf>
    <xf numFmtId="0" fontId="13" fillId="19" borderId="28" xfId="0" applyFont="1" applyFill="1" applyBorder="1" applyAlignment="1">
      <alignment horizontal="left" vertical="top"/>
    </xf>
    <xf numFmtId="0" fontId="13" fillId="16" borderId="28" xfId="0" applyFont="1" applyFill="1" applyBorder="1" applyAlignment="1">
      <alignment horizontal="left" wrapText="1" indent="2"/>
    </xf>
    <xf numFmtId="0" fontId="19" fillId="16" borderId="28" xfId="0" applyFont="1" applyFill="1" applyBorder="1" applyAlignment="1">
      <alignment horizontal="center" vertical="top"/>
    </xf>
    <xf numFmtId="3" fontId="19" fillId="16" borderId="28" xfId="0" applyNumberFormat="1" applyFont="1" applyFill="1" applyBorder="1" applyAlignment="1">
      <alignment horizontal="center" vertical="top"/>
    </xf>
    <xf numFmtId="3" fontId="13" fillId="16" borderId="28" xfId="0" applyNumberFormat="1" applyFont="1" applyFill="1" applyBorder="1"/>
    <xf numFmtId="4" fontId="51" fillId="0" borderId="0" xfId="0" applyNumberFormat="1" applyFont="1" applyFill="1" applyBorder="1"/>
    <xf numFmtId="193" fontId="19" fillId="0" borderId="28" xfId="0" applyNumberFormat="1" applyFont="1" applyFill="1" applyBorder="1"/>
    <xf numFmtId="194" fontId="13" fillId="16" borderId="28" xfId="9" applyNumberFormat="1" applyFont="1" applyFill="1" applyBorder="1"/>
    <xf numFmtId="0" fontId="48" fillId="3" borderId="0" xfId="0" applyFont="1" applyFill="1" applyBorder="1"/>
    <xf numFmtId="0" fontId="52" fillId="3" borderId="25" xfId="0" applyFont="1" applyFill="1" applyBorder="1" applyAlignment="1"/>
    <xf numFmtId="4" fontId="48" fillId="3" borderId="0" xfId="0" applyNumberFormat="1" applyFont="1" applyFill="1" applyBorder="1"/>
    <xf numFmtId="0" fontId="52" fillId="3" borderId="19" xfId="0" applyFont="1" applyFill="1" applyBorder="1" applyAlignment="1">
      <alignment wrapText="1"/>
    </xf>
    <xf numFmtId="4" fontId="53" fillId="3" borderId="71" xfId="0" applyNumberFormat="1" applyFont="1" applyFill="1" applyBorder="1"/>
    <xf numFmtId="3" fontId="53" fillId="3" borderId="28" xfId="0" applyNumberFormat="1" applyFont="1" applyFill="1" applyBorder="1"/>
    <xf numFmtId="49" fontId="16" fillId="0" borderId="19" xfId="0" applyNumberFormat="1" applyFont="1" applyFill="1" applyBorder="1" applyAlignment="1">
      <alignment horizontal="left" vertical="center" wrapText="1"/>
    </xf>
    <xf numFmtId="49" fontId="18" fillId="0" borderId="19" xfId="0" applyNumberFormat="1" applyFont="1" applyFill="1" applyBorder="1" applyAlignment="1">
      <alignment horizontal="center" vertical="center" wrapText="1"/>
    </xf>
    <xf numFmtId="187" fontId="17" fillId="0" borderId="19" xfId="9" applyNumberFormat="1" applyFont="1" applyFill="1" applyBorder="1" applyAlignment="1">
      <alignment horizontal="right" vertical="center"/>
    </xf>
    <xf numFmtId="187" fontId="16" fillId="0" borderId="72" xfId="9" applyNumberFormat="1" applyFont="1" applyFill="1" applyBorder="1" applyAlignment="1">
      <alignment horizontal="right" vertical="center"/>
    </xf>
    <xf numFmtId="49" fontId="18" fillId="0" borderId="19" xfId="0" applyNumberFormat="1" applyFont="1" applyFill="1" applyBorder="1" applyAlignment="1">
      <alignment horizontal="center" vertical="center"/>
    </xf>
    <xf numFmtId="187" fontId="19" fillId="0" borderId="19" xfId="9" applyNumberFormat="1" applyFont="1" applyFill="1" applyBorder="1"/>
    <xf numFmtId="187" fontId="19" fillId="0" borderId="19" xfId="9" applyNumberFormat="1" applyFont="1" applyFill="1" applyBorder="1" applyAlignment="1">
      <alignment horizontal="right" vertical="center"/>
    </xf>
    <xf numFmtId="187" fontId="13" fillId="0" borderId="72" xfId="9" applyNumberFormat="1" applyFont="1" applyFill="1" applyBorder="1"/>
    <xf numFmtId="187" fontId="17" fillId="0" borderId="19" xfId="9" applyNumberFormat="1" applyFont="1" applyFill="1" applyBorder="1"/>
    <xf numFmtId="187" fontId="16" fillId="0" borderId="72" xfId="9" applyNumberFormat="1" applyFont="1" applyFill="1" applyBorder="1"/>
    <xf numFmtId="187" fontId="17" fillId="0" borderId="19" xfId="9" applyNumberFormat="1" applyFont="1" applyFill="1" applyBorder="1" applyAlignment="1">
      <alignment vertical="center"/>
    </xf>
    <xf numFmtId="187" fontId="19" fillId="0" borderId="19" xfId="9" applyNumberFormat="1" applyFont="1" applyFill="1" applyBorder="1" applyAlignment="1">
      <alignment vertical="center"/>
    </xf>
    <xf numFmtId="187" fontId="17" fillId="0" borderId="72" xfId="9" applyNumberFormat="1" applyFont="1" applyFill="1" applyBorder="1" applyAlignment="1">
      <alignment vertical="center"/>
    </xf>
    <xf numFmtId="0" fontId="18" fillId="0" borderId="19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187" fontId="17" fillId="0" borderId="22" xfId="9" applyNumberFormat="1" applyFont="1" applyFill="1" applyBorder="1" applyAlignment="1">
      <alignment vertical="center"/>
    </xf>
    <xf numFmtId="0" fontId="17" fillId="10" borderId="18" xfId="0" applyFont="1" applyFill="1" applyBorder="1" applyAlignment="1">
      <alignment horizontal="center" vertical="top"/>
    </xf>
    <xf numFmtId="49" fontId="17" fillId="10" borderId="0" xfId="0" applyNumberFormat="1" applyFont="1" applyFill="1" applyBorder="1" applyAlignment="1">
      <alignment horizontal="left" vertical="center"/>
    </xf>
    <xf numFmtId="3" fontId="17" fillId="10" borderId="0" xfId="0" applyNumberFormat="1" applyFont="1" applyFill="1" applyBorder="1"/>
    <xf numFmtId="3" fontId="17" fillId="10" borderId="0" xfId="0" applyNumberFormat="1" applyFont="1" applyFill="1" applyBorder="1" applyAlignment="1">
      <alignment horizontal="center" vertical="center"/>
    </xf>
    <xf numFmtId="0" fontId="17" fillId="10" borderId="0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/>
    </xf>
    <xf numFmtId="49" fontId="17" fillId="3" borderId="0" xfId="0" applyNumberFormat="1" applyFont="1" applyFill="1" applyBorder="1" applyAlignment="1">
      <alignment horizontal="left" vertical="center"/>
    </xf>
    <xf numFmtId="3" fontId="17" fillId="3" borderId="0" xfId="0" applyNumberFormat="1" applyFont="1" applyFill="1" applyBorder="1"/>
    <xf numFmtId="3" fontId="17" fillId="3" borderId="0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10" borderId="18" xfId="0" applyFont="1" applyFill="1" applyBorder="1" applyAlignment="1">
      <alignment horizontal="center"/>
    </xf>
    <xf numFmtId="187" fontId="16" fillId="0" borderId="72" xfId="9" applyNumberFormat="1" applyFont="1" applyFill="1" applyBorder="1" applyAlignment="1">
      <alignment vertical="center"/>
    </xf>
    <xf numFmtId="187" fontId="16" fillId="0" borderId="19" xfId="9" applyNumberFormat="1" applyFont="1" applyFill="1" applyBorder="1" applyAlignment="1">
      <alignment vertical="center"/>
    </xf>
    <xf numFmtId="4" fontId="17" fillId="0" borderId="19" xfId="0" applyNumberFormat="1" applyFont="1" applyFill="1" applyBorder="1" applyAlignment="1">
      <alignment horizontal="right" vertical="center"/>
    </xf>
    <xf numFmtId="187" fontId="17" fillId="10" borderId="19" xfId="9" applyNumberFormat="1" applyFont="1" applyFill="1" applyBorder="1" applyAlignment="1">
      <alignment vertical="center"/>
    </xf>
    <xf numFmtId="187" fontId="17" fillId="3" borderId="19" xfId="9" applyNumberFormat="1" applyFont="1" applyFill="1" applyBorder="1"/>
    <xf numFmtId="187" fontId="17" fillId="10" borderId="19" xfId="9" applyNumberFormat="1" applyFont="1" applyFill="1" applyBorder="1"/>
    <xf numFmtId="187" fontId="16" fillId="0" borderId="19" xfId="9" applyNumberFormat="1" applyFont="1" applyFill="1" applyBorder="1"/>
    <xf numFmtId="187" fontId="19" fillId="0" borderId="27" xfId="9" applyNumberFormat="1" applyFont="1" applyFill="1" applyBorder="1"/>
    <xf numFmtId="0" fontId="11" fillId="0" borderId="22" xfId="0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188" fontId="11" fillId="0" borderId="28" xfId="9" applyNumberFormat="1" applyFont="1" applyFill="1" applyBorder="1" applyAlignment="1">
      <alignment horizontal="right"/>
    </xf>
    <xf numFmtId="3" fontId="11" fillId="0" borderId="28" xfId="0" applyNumberFormat="1" applyFont="1" applyFill="1" applyBorder="1" applyAlignment="1">
      <alignment horizontal="center"/>
    </xf>
    <xf numFmtId="190" fontId="9" fillId="0" borderId="0" xfId="9" applyNumberFormat="1" applyFont="1" applyFill="1" applyBorder="1" applyAlignment="1">
      <alignment horizontal="right"/>
    </xf>
    <xf numFmtId="188" fontId="9" fillId="0" borderId="0" xfId="9" applyNumberFormat="1" applyFont="1" applyFill="1" applyBorder="1" applyAlignment="1">
      <alignment horizontal="right"/>
    </xf>
    <xf numFmtId="188" fontId="11" fillId="0" borderId="28" xfId="0" applyNumberFormat="1" applyFont="1" applyFill="1" applyBorder="1" applyAlignment="1">
      <alignment horizontal="left"/>
    </xf>
    <xf numFmtId="188" fontId="11" fillId="21" borderId="28" xfId="9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0" fontId="11" fillId="0" borderId="28" xfId="0" applyFont="1" applyFill="1" applyBorder="1" applyAlignment="1">
      <alignment horizontal="left" wrapText="1"/>
    </xf>
    <xf numFmtId="0" fontId="11" fillId="0" borderId="29" xfId="0" applyNumberFormat="1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3" fontId="11" fillId="0" borderId="29" xfId="0" applyNumberFormat="1" applyFont="1" applyFill="1" applyBorder="1" applyAlignment="1">
      <alignment horizontal="center"/>
    </xf>
    <xf numFmtId="0" fontId="11" fillId="0" borderId="28" xfId="0" applyNumberFormat="1" applyFont="1" applyFill="1" applyBorder="1" applyAlignment="1">
      <alignment horizontal="left"/>
    </xf>
    <xf numFmtId="0" fontId="11" fillId="0" borderId="28" xfId="0" applyNumberFormat="1" applyFont="1" applyFill="1" applyBorder="1" applyAlignment="1">
      <alignment horizontal="center" vertical="top" wrapText="1"/>
    </xf>
    <xf numFmtId="0" fontId="11" fillId="0" borderId="28" xfId="0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vertical="top"/>
    </xf>
    <xf numFmtId="187" fontId="11" fillId="2" borderId="1" xfId="2" applyFont="1" applyFill="1" applyBorder="1" applyAlignment="1">
      <alignment horizontal="center"/>
    </xf>
    <xf numFmtId="0" fontId="11" fillId="2" borderId="2" xfId="1" applyFont="1" applyFill="1" applyBorder="1" applyAlignment="1">
      <alignment horizontal="center"/>
    </xf>
    <xf numFmtId="0" fontId="11" fillId="2" borderId="2" xfId="1" applyFont="1" applyFill="1" applyBorder="1" applyAlignment="1">
      <alignment horizontal="center" wrapText="1"/>
    </xf>
    <xf numFmtId="187" fontId="11" fillId="2" borderId="2" xfId="2" applyFont="1" applyFill="1" applyBorder="1" applyAlignment="1">
      <alignment horizontal="center"/>
    </xf>
    <xf numFmtId="0" fontId="11" fillId="0" borderId="3" xfId="1" applyFont="1" applyFill="1" applyBorder="1" applyAlignment="1">
      <alignment horizontal="center" vertical="top" wrapText="1"/>
    </xf>
    <xf numFmtId="0" fontId="11" fillId="0" borderId="3" xfId="1" applyFont="1" applyFill="1" applyBorder="1" applyAlignment="1">
      <alignment horizontal="left" vertical="top" wrapText="1"/>
    </xf>
    <xf numFmtId="3" fontId="11" fillId="0" borderId="3" xfId="2" applyNumberFormat="1" applyFont="1" applyFill="1" applyBorder="1" applyAlignment="1">
      <alignment horizontal="center" vertical="top" wrapText="1"/>
    </xf>
    <xf numFmtId="0" fontId="11" fillId="0" borderId="4" xfId="1" applyFont="1" applyFill="1" applyBorder="1" applyAlignment="1">
      <alignment horizontal="center" vertical="top" wrapText="1"/>
    </xf>
    <xf numFmtId="0" fontId="11" fillId="2" borderId="4" xfId="1" applyFont="1" applyFill="1" applyBorder="1" applyAlignment="1">
      <alignment horizontal="left" vertical="top" wrapText="1"/>
    </xf>
    <xf numFmtId="3" fontId="11" fillId="0" borderId="4" xfId="2" applyNumberFormat="1" applyFont="1" applyFill="1" applyBorder="1" applyAlignment="1">
      <alignment horizontal="center" vertical="top" wrapText="1"/>
    </xf>
    <xf numFmtId="0" fontId="12" fillId="0" borderId="5" xfId="20" applyFont="1" applyFill="1" applyBorder="1"/>
    <xf numFmtId="0" fontId="54" fillId="0" borderId="5" xfId="20" applyFont="1" applyFill="1" applyBorder="1" applyAlignment="1">
      <alignment vertical="center"/>
    </xf>
    <xf numFmtId="3" fontId="10" fillId="0" borderId="4" xfId="2" applyNumberFormat="1" applyFont="1" applyFill="1" applyBorder="1" applyAlignment="1">
      <alignment horizontal="center" vertical="top" wrapText="1"/>
    </xf>
    <xf numFmtId="0" fontId="12" fillId="0" borderId="0" xfId="20" applyFont="1" applyFill="1" applyBorder="1"/>
    <xf numFmtId="0" fontId="12" fillId="0" borderId="5" xfId="20" applyFont="1" applyFill="1" applyBorder="1" applyAlignment="1">
      <alignment vertical="center"/>
    </xf>
    <xf numFmtId="187" fontId="10" fillId="0" borderId="0" xfId="1" applyNumberFormat="1" applyFont="1" applyFill="1" applyBorder="1" applyAlignment="1">
      <alignment vertical="top"/>
    </xf>
    <xf numFmtId="3" fontId="12" fillId="0" borderId="0" xfId="20" applyNumberFormat="1" applyFont="1" applyFill="1" applyBorder="1"/>
    <xf numFmtId="0" fontId="29" fillId="0" borderId="5" xfId="20" applyFont="1" applyFill="1" applyBorder="1"/>
    <xf numFmtId="0" fontId="29" fillId="0" borderId="5" xfId="20" applyFont="1" applyFill="1" applyBorder="1" applyAlignment="1">
      <alignment vertical="center"/>
    </xf>
    <xf numFmtId="0" fontId="29" fillId="0" borderId="0" xfId="20" applyFont="1" applyFill="1" applyBorder="1"/>
    <xf numFmtId="0" fontId="12" fillId="0" borderId="5" xfId="20" applyFont="1" applyFill="1" applyBorder="1" applyAlignment="1">
      <alignment vertical="center" wrapText="1"/>
    </xf>
    <xf numFmtId="0" fontId="55" fillId="0" borderId="5" xfId="20" applyFont="1" applyFill="1" applyBorder="1"/>
    <xf numFmtId="0" fontId="10" fillId="0" borderId="5" xfId="20" applyFont="1" applyFill="1" applyBorder="1" applyAlignment="1">
      <alignment vertical="center"/>
    </xf>
    <xf numFmtId="0" fontId="10" fillId="0" borderId="0" xfId="20" applyFont="1" applyFill="1" applyBorder="1"/>
    <xf numFmtId="0" fontId="55" fillId="0" borderId="0" xfId="20" applyFont="1" applyFill="1" applyBorder="1"/>
    <xf numFmtId="0" fontId="10" fillId="0" borderId="0" xfId="1" applyFont="1" applyFill="1" applyBorder="1" applyAlignment="1">
      <alignment vertical="top"/>
    </xf>
    <xf numFmtId="187" fontId="10" fillId="0" borderId="5" xfId="2" applyFont="1" applyFill="1" applyBorder="1" applyAlignment="1">
      <alignment vertical="top" wrapText="1"/>
    </xf>
    <xf numFmtId="187" fontId="11" fillId="2" borderId="9" xfId="1" applyNumberFormat="1" applyFont="1" applyFill="1" applyBorder="1" applyAlignment="1"/>
    <xf numFmtId="187" fontId="10" fillId="0" borderId="0" xfId="1" applyNumberFormat="1" applyFont="1" applyFill="1" applyBorder="1"/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vertical="top"/>
    </xf>
    <xf numFmtId="0" fontId="11" fillId="2" borderId="3" xfId="1" applyFont="1" applyFill="1" applyBorder="1" applyAlignment="1">
      <alignment horizontal="center"/>
    </xf>
    <xf numFmtId="0" fontId="11" fillId="0" borderId="3" xfId="1" applyFont="1" applyFill="1" applyBorder="1" applyAlignment="1">
      <alignment vertical="top"/>
    </xf>
    <xf numFmtId="3" fontId="11" fillId="2" borderId="3" xfId="2" applyNumberFormat="1" applyFont="1" applyFill="1" applyBorder="1" applyAlignment="1">
      <alignment horizontal="center"/>
    </xf>
    <xf numFmtId="3" fontId="10" fillId="0" borderId="4" xfId="1" applyNumberFormat="1" applyFont="1" applyFill="1" applyBorder="1" applyAlignment="1">
      <alignment horizontal="center" vertical="top" wrapText="1"/>
    </xf>
    <xf numFmtId="3" fontId="22" fillId="0" borderId="0" xfId="0" applyNumberFormat="1" applyFont="1" applyFill="1" applyBorder="1"/>
    <xf numFmtId="0" fontId="10" fillId="0" borderId="6" xfId="1" applyFont="1" applyFill="1" applyBorder="1" applyAlignment="1">
      <alignment horizontal="center" vertical="top" wrapText="1"/>
    </xf>
    <xf numFmtId="0" fontId="10" fillId="0" borderId="6" xfId="1" applyFont="1" applyFill="1" applyBorder="1" applyAlignment="1">
      <alignment horizontal="left" vertical="top" wrapText="1"/>
    </xf>
    <xf numFmtId="187" fontId="10" fillId="0" borderId="6" xfId="2" applyFont="1" applyFill="1" applyBorder="1" applyAlignment="1">
      <alignment vertical="top" wrapText="1"/>
    </xf>
    <xf numFmtId="3" fontId="9" fillId="2" borderId="9" xfId="1" applyNumberFormat="1" applyFont="1" applyFill="1" applyBorder="1" applyAlignment="1"/>
    <xf numFmtId="0" fontId="9" fillId="2" borderId="1" xfId="1" applyFont="1" applyFill="1" applyBorder="1" applyAlignment="1">
      <alignment horizontal="center"/>
    </xf>
    <xf numFmtId="187" fontId="9" fillId="2" borderId="1" xfId="2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wrapText="1"/>
    </xf>
    <xf numFmtId="187" fontId="9" fillId="2" borderId="2" xfId="2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9" fillId="0" borderId="3" xfId="1" applyFont="1" applyFill="1" applyBorder="1" applyAlignment="1">
      <alignment vertical="top"/>
    </xf>
    <xf numFmtId="3" fontId="9" fillId="2" borderId="3" xfId="2" applyNumberFormat="1" applyFont="1" applyFill="1" applyBorder="1" applyAlignment="1">
      <alignment horizontal="center"/>
    </xf>
    <xf numFmtId="0" fontId="26" fillId="0" borderId="4" xfId="1" applyFont="1" applyFill="1" applyBorder="1" applyAlignment="1">
      <alignment horizontal="center" vertical="top" wrapText="1"/>
    </xf>
    <xf numFmtId="0" fontId="26" fillId="0" borderId="4" xfId="1" applyFont="1" applyFill="1" applyBorder="1" applyAlignment="1">
      <alignment horizontal="left" vertical="top" wrapText="1"/>
    </xf>
    <xf numFmtId="3" fontId="26" fillId="0" borderId="4" xfId="1" applyNumberFormat="1" applyFont="1" applyFill="1" applyBorder="1" applyAlignment="1">
      <alignment horizontal="center" vertical="top" wrapText="1"/>
    </xf>
    <xf numFmtId="0" fontId="14" fillId="0" borderId="5" xfId="0" applyFont="1" applyFill="1" applyBorder="1"/>
    <xf numFmtId="49" fontId="12" fillId="0" borderId="5" xfId="0" applyNumberFormat="1" applyFont="1" applyFill="1" applyBorder="1" applyAlignment="1">
      <alignment vertical="center"/>
    </xf>
    <xf numFmtId="3" fontId="12" fillId="0" borderId="5" xfId="0" applyNumberFormat="1" applyFont="1" applyFill="1" applyBorder="1" applyAlignment="1">
      <alignment vertical="center"/>
    </xf>
    <xf numFmtId="0" fontId="26" fillId="0" borderId="5" xfId="1" applyFont="1" applyFill="1" applyBorder="1" applyAlignment="1">
      <alignment horizontal="center" vertical="top" wrapText="1"/>
    </xf>
    <xf numFmtId="49" fontId="10" fillId="2" borderId="5" xfId="1" applyNumberFormat="1" applyFont="1" applyFill="1" applyBorder="1" applyAlignment="1">
      <alignment horizontal="left" vertical="top" wrapText="1"/>
    </xf>
    <xf numFmtId="0" fontId="9" fillId="0" borderId="5" xfId="1" applyFont="1" applyFill="1" applyBorder="1" applyAlignment="1">
      <alignment horizontal="left" vertical="top"/>
    </xf>
    <xf numFmtId="49" fontId="26" fillId="2" borderId="5" xfId="1" applyNumberFormat="1" applyFont="1" applyFill="1" applyBorder="1" applyAlignment="1">
      <alignment horizontal="left" vertical="top" wrapText="1"/>
    </xf>
    <xf numFmtId="3" fontId="26" fillId="0" borderId="5" xfId="1" applyNumberFormat="1" applyFont="1" applyFill="1" applyBorder="1" applyAlignment="1">
      <alignment horizontal="center" vertical="top" wrapText="1"/>
    </xf>
    <xf numFmtId="3" fontId="10" fillId="0" borderId="5" xfId="1" applyNumberFormat="1" applyFont="1" applyFill="1" applyBorder="1" applyAlignment="1">
      <alignment horizontal="right" vertical="top" wrapText="1"/>
    </xf>
    <xf numFmtId="0" fontId="10" fillId="0" borderId="5" xfId="1" applyFont="1" applyFill="1" applyBorder="1" applyAlignment="1">
      <alignment horizontal="left" vertical="top"/>
    </xf>
    <xf numFmtId="49" fontId="26" fillId="0" borderId="5" xfId="1" applyNumberFormat="1" applyFont="1" applyFill="1" applyBorder="1" applyAlignment="1">
      <alignment horizontal="center" vertical="top" wrapText="1"/>
    </xf>
    <xf numFmtId="0" fontId="10" fillId="0" borderId="0" xfId="1" applyFont="1" applyFill="1" applyBorder="1" applyAlignment="1">
      <alignment horizontal="right" vertical="top" wrapText="1"/>
    </xf>
    <xf numFmtId="0" fontId="26" fillId="0" borderId="5" xfId="1" applyFont="1" applyFill="1" applyBorder="1" applyAlignment="1">
      <alignment horizontal="left" vertical="top"/>
    </xf>
    <xf numFmtId="0" fontId="28" fillId="0" borderId="0" xfId="0" applyFont="1" applyFill="1" applyBorder="1" applyAlignment="1">
      <alignment horizontal="centerContinuous" vertical="top"/>
    </xf>
    <xf numFmtId="0" fontId="28" fillId="0" borderId="0" xfId="0" applyFont="1" applyFill="1" applyBorder="1" applyAlignment="1">
      <alignment horizontal="center" vertical="top"/>
    </xf>
    <xf numFmtId="0" fontId="28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28" fillId="0" borderId="23" xfId="0" applyFont="1" applyFill="1" applyBorder="1" applyAlignment="1">
      <alignment vertical="top"/>
    </xf>
    <xf numFmtId="0" fontId="28" fillId="0" borderId="25" xfId="0" applyFont="1" applyFill="1" applyBorder="1" applyAlignment="1">
      <alignment horizontal="center" vertical="top" wrapText="1"/>
    </xf>
    <xf numFmtId="3" fontId="28" fillId="0" borderId="29" xfId="0" applyNumberFormat="1" applyFont="1" applyFill="1" applyBorder="1" applyAlignment="1">
      <alignment horizontal="center" vertical="top"/>
    </xf>
    <xf numFmtId="0" fontId="28" fillId="0" borderId="32" xfId="0" applyFont="1" applyFill="1" applyBorder="1" applyAlignment="1">
      <alignment vertical="top"/>
    </xf>
    <xf numFmtId="0" fontId="28" fillId="0" borderId="27" xfId="0" applyFont="1" applyFill="1" applyBorder="1" applyAlignment="1">
      <alignment horizontal="center" vertical="top" wrapText="1"/>
    </xf>
    <xf numFmtId="3" fontId="28" fillId="0" borderId="31" xfId="0" applyNumberFormat="1" applyFont="1" applyFill="1" applyBorder="1" applyAlignment="1">
      <alignment horizontal="center" vertical="top"/>
    </xf>
    <xf numFmtId="0" fontId="28" fillId="0" borderId="28" xfId="0" applyFont="1" applyFill="1" applyBorder="1" applyAlignment="1">
      <alignment vertical="top"/>
    </xf>
    <xf numFmtId="0" fontId="28" fillId="0" borderId="28" xfId="0" applyFont="1" applyFill="1" applyBorder="1" applyAlignment="1">
      <alignment vertical="top" wrapText="1"/>
    </xf>
    <xf numFmtId="3" fontId="28" fillId="0" borderId="28" xfId="0" applyNumberFormat="1" applyFont="1" applyFill="1" applyBorder="1" applyAlignment="1">
      <alignment horizontal="center" vertical="top"/>
    </xf>
    <xf numFmtId="0" fontId="28" fillId="0" borderId="29" xfId="0" applyFont="1" applyFill="1" applyBorder="1" applyAlignment="1">
      <alignment vertical="top"/>
    </xf>
    <xf numFmtId="0" fontId="26" fillId="0" borderId="28" xfId="0" applyFont="1" applyFill="1" applyBorder="1" applyAlignment="1">
      <alignment horizontal="left" indent="2"/>
    </xf>
    <xf numFmtId="3" fontId="14" fillId="0" borderId="28" xfId="0" applyNumberFormat="1" applyFont="1" applyFill="1" applyBorder="1" applyAlignment="1">
      <alignment horizontal="right" vertical="top"/>
    </xf>
    <xf numFmtId="0" fontId="28" fillId="0" borderId="30" xfId="0" applyFont="1" applyFill="1" applyBorder="1" applyAlignment="1">
      <alignment vertical="top"/>
    </xf>
    <xf numFmtId="0" fontId="9" fillId="0" borderId="28" xfId="0" applyFont="1" applyFill="1" applyBorder="1" applyAlignment="1">
      <alignment horizontal="left"/>
    </xf>
    <xf numFmtId="0" fontId="26" fillId="0" borderId="28" xfId="0" quotePrefix="1" applyFont="1" applyFill="1" applyBorder="1" applyAlignment="1">
      <alignment horizontal="left" indent="2"/>
    </xf>
    <xf numFmtId="0" fontId="9" fillId="0" borderId="28" xfId="0" quotePrefix="1" applyFont="1" applyFill="1" applyBorder="1" applyAlignment="1">
      <alignment horizontal="left"/>
    </xf>
    <xf numFmtId="0" fontId="14" fillId="0" borderId="28" xfId="0" applyFont="1" applyFill="1" applyBorder="1" applyAlignment="1">
      <alignment vertical="top" wrapText="1"/>
    </xf>
    <xf numFmtId="3" fontId="14" fillId="0" borderId="28" xfId="0" applyNumberFormat="1" applyFont="1" applyFill="1" applyBorder="1" applyAlignment="1">
      <alignment horizontal="center" vertical="top"/>
    </xf>
    <xf numFmtId="0" fontId="28" fillId="0" borderId="28" xfId="0" applyFont="1" applyFill="1" applyBorder="1" applyAlignment="1">
      <alignment horizontal="right" vertical="top"/>
    </xf>
    <xf numFmtId="0" fontId="28" fillId="0" borderId="20" xfId="0" applyFont="1" applyFill="1" applyBorder="1" applyAlignment="1">
      <alignment vertical="top"/>
    </xf>
    <xf numFmtId="0" fontId="28" fillId="0" borderId="21" xfId="0" applyFont="1" applyFill="1" applyBorder="1" applyAlignment="1">
      <alignment horizontal="right" vertical="top"/>
    </xf>
    <xf numFmtId="3" fontId="28" fillId="0" borderId="22" xfId="0" applyNumberFormat="1" applyFont="1" applyFill="1" applyBorder="1" applyAlignment="1">
      <alignment horizontal="center" vertical="top"/>
    </xf>
    <xf numFmtId="3" fontId="14" fillId="0" borderId="0" xfId="0" applyNumberFormat="1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4" fillId="0" borderId="29" xfId="0" applyFont="1" applyFill="1" applyBorder="1" applyAlignment="1">
      <alignment vertical="top"/>
    </xf>
    <xf numFmtId="0" fontId="26" fillId="0" borderId="22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top"/>
    </xf>
    <xf numFmtId="0" fontId="9" fillId="0" borderId="22" xfId="0" applyFont="1" applyFill="1" applyBorder="1"/>
    <xf numFmtId="0" fontId="14" fillId="0" borderId="28" xfId="0" applyFont="1" applyFill="1" applyBorder="1" applyAlignment="1">
      <alignment vertical="top"/>
    </xf>
    <xf numFmtId="0" fontId="9" fillId="0" borderId="22" xfId="0" applyFont="1" applyFill="1" applyBorder="1" applyAlignment="1">
      <alignment vertical="center"/>
    </xf>
    <xf numFmtId="3" fontId="28" fillId="0" borderId="28" xfId="0" applyNumberFormat="1" applyFont="1" applyFill="1" applyBorder="1" applyAlignment="1">
      <alignment horizontal="right" vertical="top"/>
    </xf>
    <xf numFmtId="4" fontId="9" fillId="0" borderId="0" xfId="1" applyNumberFormat="1" applyFont="1" applyFill="1" applyBorder="1" applyAlignment="1">
      <alignment horizontal="center"/>
    </xf>
    <xf numFmtId="4" fontId="9" fillId="0" borderId="0" xfId="1" applyNumberFormat="1" applyFont="1" applyFill="1" applyBorder="1" applyAlignment="1">
      <alignment vertical="top"/>
    </xf>
    <xf numFmtId="4" fontId="11" fillId="2" borderId="1" xfId="2" applyNumberFormat="1" applyFont="1" applyFill="1" applyBorder="1" applyAlignment="1">
      <alignment horizontal="center"/>
    </xf>
    <xf numFmtId="4" fontId="11" fillId="0" borderId="0" xfId="1" applyNumberFormat="1" applyFont="1" applyFill="1" applyBorder="1" applyAlignment="1">
      <alignment horizontal="center"/>
    </xf>
    <xf numFmtId="4" fontId="11" fillId="2" borderId="47" xfId="2" applyNumberFormat="1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right"/>
    </xf>
    <xf numFmtId="0" fontId="10" fillId="0" borderId="61" xfId="0" applyFont="1" applyFill="1" applyBorder="1" applyAlignment="1">
      <alignment horizontal="left"/>
    </xf>
    <xf numFmtId="3" fontId="12" fillId="0" borderId="4" xfId="0" applyNumberFormat="1" applyFont="1" applyFill="1" applyBorder="1" applyAlignment="1">
      <alignment wrapText="1"/>
    </xf>
    <xf numFmtId="0" fontId="10" fillId="0" borderId="61" xfId="0" applyFont="1" applyFill="1" applyBorder="1" applyAlignment="1"/>
    <xf numFmtId="3" fontId="12" fillId="0" borderId="5" xfId="0" applyNumberFormat="1" applyFont="1" applyFill="1" applyBorder="1" applyAlignment="1">
      <alignment wrapText="1"/>
    </xf>
    <xf numFmtId="0" fontId="10" fillId="0" borderId="61" xfId="0" applyFont="1" applyFill="1" applyBorder="1" applyAlignment="1">
      <alignment horizontal="left" vertical="top"/>
    </xf>
    <xf numFmtId="0" fontId="10" fillId="0" borderId="61" xfId="0" applyFont="1" applyFill="1" applyBorder="1" applyAlignment="1">
      <alignment horizontal="left" vertical="top" wrapText="1"/>
    </xf>
    <xf numFmtId="3" fontId="12" fillId="0" borderId="5" xfId="0" applyNumberFormat="1" applyFont="1" applyFill="1" applyBorder="1" applyAlignment="1">
      <alignment vertical="top" wrapText="1"/>
    </xf>
    <xf numFmtId="3" fontId="12" fillId="0" borderId="47" xfId="0" applyNumberFormat="1" applyFont="1" applyFill="1" applyBorder="1" applyAlignment="1">
      <alignment wrapText="1"/>
    </xf>
    <xf numFmtId="3" fontId="11" fillId="0" borderId="52" xfId="0" applyNumberFormat="1" applyFont="1" applyFill="1" applyBorder="1" applyAlignment="1">
      <alignment horizontal="right"/>
    </xf>
    <xf numFmtId="195" fontId="11" fillId="0" borderId="55" xfId="0" applyNumberFormat="1" applyFont="1" applyFill="1" applyBorder="1" applyAlignment="1">
      <alignment wrapText="1"/>
    </xf>
    <xf numFmtId="3" fontId="12" fillId="0" borderId="48" xfId="0" applyNumberFormat="1" applyFont="1" applyFill="1" applyBorder="1" applyAlignment="1">
      <alignment horizontal="right" vertical="top" wrapText="1"/>
    </xf>
    <xf numFmtId="3" fontId="12" fillId="0" borderId="5" xfId="0" applyNumberFormat="1" applyFont="1" applyFill="1" applyBorder="1" applyAlignment="1">
      <alignment horizontal="right" vertical="top" wrapText="1"/>
    </xf>
    <xf numFmtId="0" fontId="10" fillId="0" borderId="2" xfId="1" applyFont="1" applyFill="1" applyBorder="1" applyAlignment="1">
      <alignment vertical="top"/>
    </xf>
    <xf numFmtId="0" fontId="10" fillId="0" borderId="5" xfId="0" applyFont="1" applyFill="1" applyBorder="1" applyAlignment="1">
      <alignment vertical="center"/>
    </xf>
    <xf numFmtId="3" fontId="12" fillId="0" borderId="5" xfId="0" applyNumberFormat="1" applyFont="1" applyFill="1" applyBorder="1"/>
    <xf numFmtId="0" fontId="12" fillId="0" borderId="5" xfId="0" applyFont="1" applyFill="1" applyBorder="1"/>
    <xf numFmtId="0" fontId="12" fillId="0" borderId="2" xfId="0" applyFont="1" applyFill="1" applyBorder="1"/>
    <xf numFmtId="0" fontId="10" fillId="0" borderId="5" xfId="0" applyFont="1" applyFill="1" applyBorder="1" applyAlignment="1">
      <alignment wrapText="1"/>
    </xf>
    <xf numFmtId="3" fontId="12" fillId="0" borderId="5" xfId="0" applyNumberFormat="1" applyFont="1" applyFill="1" applyBorder="1" applyAlignment="1">
      <alignment horizontal="right"/>
    </xf>
    <xf numFmtId="0" fontId="12" fillId="0" borderId="73" xfId="0" applyFont="1" applyFill="1" applyBorder="1" applyAlignment="1">
      <alignment vertical="center"/>
    </xf>
    <xf numFmtId="0" fontId="12" fillId="0" borderId="74" xfId="0" applyFont="1" applyFill="1" applyBorder="1" applyAlignment="1">
      <alignment vertical="center"/>
    </xf>
    <xf numFmtId="0" fontId="12" fillId="0" borderId="75" xfId="0" applyFont="1" applyFill="1" applyBorder="1" applyAlignment="1">
      <alignment vertical="center"/>
    </xf>
    <xf numFmtId="3" fontId="12" fillId="0" borderId="47" xfId="0" applyNumberFormat="1" applyFont="1" applyFill="1" applyBorder="1"/>
    <xf numFmtId="3" fontId="11" fillId="2" borderId="3" xfId="2" applyNumberFormat="1" applyFont="1" applyFill="1" applyBorder="1" applyAlignment="1">
      <alignment horizontal="right"/>
    </xf>
    <xf numFmtId="0" fontId="30" fillId="0" borderId="68" xfId="0" applyFont="1" applyFill="1" applyBorder="1" applyAlignment="1">
      <alignment horizontal="left" vertical="top"/>
    </xf>
    <xf numFmtId="3" fontId="56" fillId="0" borderId="1" xfId="0" applyNumberFormat="1" applyFont="1" applyFill="1" applyBorder="1" applyAlignment="1">
      <alignment wrapText="1"/>
    </xf>
    <xf numFmtId="0" fontId="10" fillId="0" borderId="67" xfId="1" applyFont="1" applyFill="1" applyBorder="1" applyAlignment="1">
      <alignment vertical="top"/>
    </xf>
    <xf numFmtId="3" fontId="12" fillId="0" borderId="4" xfId="0" applyNumberFormat="1" applyFont="1" applyFill="1" applyBorder="1" applyAlignment="1">
      <alignment horizontal="right" vertical="top" wrapText="1"/>
    </xf>
    <xf numFmtId="0" fontId="10" fillId="0" borderId="74" xfId="1" applyFont="1" applyFill="1" applyBorder="1" applyAlignment="1">
      <alignment horizontal="left" vertical="top"/>
    </xf>
    <xf numFmtId="0" fontId="10" fillId="0" borderId="74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right" vertical="top" wrapText="1"/>
    </xf>
    <xf numFmtId="0" fontId="10" fillId="0" borderId="19" xfId="0" applyFont="1" applyFill="1" applyBorder="1"/>
    <xf numFmtId="0" fontId="30" fillId="0" borderId="43" xfId="0" applyFont="1" applyFill="1" applyBorder="1" applyAlignment="1">
      <alignment vertical="center"/>
    </xf>
    <xf numFmtId="3" fontId="56" fillId="0" borderId="5" xfId="0" applyNumberFormat="1" applyFont="1" applyFill="1" applyBorder="1" applyAlignment="1">
      <alignment horizontal="right" vertical="top" wrapText="1"/>
    </xf>
    <xf numFmtId="0" fontId="30" fillId="0" borderId="5" xfId="0" applyFont="1" applyFill="1" applyBorder="1" applyAlignment="1">
      <alignment wrapText="1"/>
    </xf>
    <xf numFmtId="3" fontId="56" fillId="0" borderId="5" xfId="0" applyNumberFormat="1" applyFont="1" applyFill="1" applyBorder="1" applyAlignment="1">
      <alignment horizontal="right"/>
    </xf>
    <xf numFmtId="4" fontId="11" fillId="2" borderId="3" xfId="2" applyNumberFormat="1" applyFont="1" applyFill="1" applyBorder="1" applyAlignment="1">
      <alignment horizontal="right"/>
    </xf>
    <xf numFmtId="0" fontId="11" fillId="2" borderId="57" xfId="1" applyFont="1" applyFill="1" applyBorder="1" applyAlignment="1">
      <alignment horizontal="center"/>
    </xf>
    <xf numFmtId="0" fontId="30" fillId="0" borderId="1" xfId="0" applyFont="1" applyFill="1" applyBorder="1" applyAlignment="1">
      <alignment horizontal="left" vertical="top"/>
    </xf>
    <xf numFmtId="3" fontId="56" fillId="0" borderId="48" xfId="0" applyNumberFormat="1" applyFont="1" applyFill="1" applyBorder="1" applyAlignment="1">
      <alignment wrapText="1"/>
    </xf>
    <xf numFmtId="0" fontId="12" fillId="0" borderId="10" xfId="0" applyFont="1" applyFill="1" applyBorder="1"/>
    <xf numFmtId="0" fontId="10" fillId="0" borderId="4" xfId="1" applyFont="1" applyFill="1" applyBorder="1" applyAlignment="1">
      <alignment vertical="top"/>
    </xf>
    <xf numFmtId="0" fontId="30" fillId="0" borderId="33" xfId="0" applyFont="1" applyFill="1" applyBorder="1" applyAlignment="1">
      <alignment vertical="center"/>
    </xf>
    <xf numFmtId="0" fontId="10" fillId="0" borderId="2" xfId="0" applyFont="1" applyFill="1" applyBorder="1"/>
    <xf numFmtId="0" fontId="10" fillId="0" borderId="33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3" fontId="56" fillId="0" borderId="2" xfId="0" applyNumberFormat="1" applyFont="1" applyFill="1" applyBorder="1" applyAlignment="1">
      <alignment wrapText="1"/>
    </xf>
    <xf numFmtId="0" fontId="30" fillId="0" borderId="5" xfId="0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horizontal="right"/>
    </xf>
    <xf numFmtId="0" fontId="12" fillId="0" borderId="76" xfId="0" applyFont="1" applyFill="1" applyBorder="1" applyAlignment="1">
      <alignment vertical="center"/>
    </xf>
    <xf numFmtId="3" fontId="29" fillId="2" borderId="3" xfId="0" applyNumberFormat="1" applyFont="1" applyFill="1" applyBorder="1" applyAlignment="1">
      <alignment horizontal="right" vertical="top"/>
    </xf>
    <xf numFmtId="0" fontId="30" fillId="0" borderId="48" xfId="1" applyFont="1" applyFill="1" applyBorder="1" applyAlignment="1">
      <alignment vertical="top"/>
    </xf>
    <xf numFmtId="3" fontId="56" fillId="2" borderId="4" xfId="0" applyNumberFormat="1" applyFont="1" applyFill="1" applyBorder="1" applyAlignment="1">
      <alignment horizontal="right" vertical="top"/>
    </xf>
    <xf numFmtId="0" fontId="11" fillId="0" borderId="3" xfId="0" applyFont="1" applyFill="1" applyBorder="1" applyAlignment="1">
      <alignment horizontal="left" vertical="top"/>
    </xf>
    <xf numFmtId="3" fontId="29" fillId="2" borderId="5" xfId="0" applyNumberFormat="1" applyFont="1" applyFill="1" applyBorder="1" applyAlignment="1">
      <alignment horizontal="right"/>
    </xf>
    <xf numFmtId="0" fontId="30" fillId="0" borderId="48" xfId="1" applyFont="1" applyFill="1" applyBorder="1" applyAlignment="1">
      <alignment horizontal="left" vertical="top"/>
    </xf>
    <xf numFmtId="3" fontId="56" fillId="2" borderId="5" xfId="0" applyNumberFormat="1" applyFont="1" applyFill="1" applyBorder="1" applyAlignment="1">
      <alignment horizontal="right"/>
    </xf>
    <xf numFmtId="0" fontId="30" fillId="0" borderId="5" xfId="1" applyFont="1" applyFill="1" applyBorder="1" applyAlignment="1">
      <alignment horizontal="left" vertical="top"/>
    </xf>
    <xf numFmtId="0" fontId="10" fillId="0" borderId="4" xfId="0" applyFont="1" applyFill="1" applyBorder="1"/>
    <xf numFmtId="0" fontId="30" fillId="0" borderId="5" xfId="0" applyFont="1" applyFill="1" applyBorder="1" applyAlignment="1"/>
    <xf numFmtId="3" fontId="12" fillId="0" borderId="6" xfId="0" applyNumberFormat="1" applyFont="1" applyFill="1" applyBorder="1"/>
    <xf numFmtId="3" fontId="29" fillId="2" borderId="47" xfId="0" applyNumberFormat="1" applyFont="1" applyFill="1" applyBorder="1" applyAlignment="1">
      <alignment horizontal="right"/>
    </xf>
    <xf numFmtId="3" fontId="56" fillId="2" borderId="2" xfId="0" applyNumberFormat="1" applyFont="1" applyFill="1" applyBorder="1" applyAlignment="1">
      <alignment horizontal="right"/>
    </xf>
    <xf numFmtId="0" fontId="10" fillId="0" borderId="4" xfId="0" applyFont="1" applyFill="1" applyBorder="1" applyAlignment="1">
      <alignment vertical="center"/>
    </xf>
    <xf numFmtId="3" fontId="10" fillId="0" borderId="0" xfId="1" applyNumberFormat="1" applyFont="1" applyFill="1" applyBorder="1"/>
    <xf numFmtId="3" fontId="12" fillId="0" borderId="4" xfId="0" applyNumberFormat="1" applyFont="1" applyFill="1" applyBorder="1"/>
    <xf numFmtId="4" fontId="10" fillId="0" borderId="0" xfId="1" applyNumberFormat="1" applyFont="1" applyFill="1" applyBorder="1" applyAlignment="1"/>
    <xf numFmtId="4" fontId="11" fillId="2" borderId="2" xfId="2" applyNumberFormat="1" applyFont="1" applyFill="1" applyBorder="1" applyAlignment="1">
      <alignment horizontal="center"/>
    </xf>
    <xf numFmtId="4" fontId="10" fillId="0" borderId="0" xfId="1" applyNumberFormat="1" applyFont="1" applyFill="1" applyBorder="1"/>
    <xf numFmtId="4" fontId="12" fillId="0" borderId="5" xfId="0" applyNumberFormat="1" applyFont="1" applyFill="1" applyBorder="1" applyAlignment="1">
      <alignment vertical="center"/>
    </xf>
    <xf numFmtId="4" fontId="10" fillId="0" borderId="0" xfId="1" applyNumberFormat="1" applyFont="1" applyFill="1" applyBorder="1" applyAlignment="1">
      <alignment vertical="top" wrapText="1"/>
    </xf>
    <xf numFmtId="4" fontId="22" fillId="0" borderId="0" xfId="0" applyNumberFormat="1" applyFont="1" applyFill="1" applyBorder="1"/>
    <xf numFmtId="4" fontId="10" fillId="0" borderId="5" xfId="0" applyNumberFormat="1" applyFont="1" applyFill="1" applyBorder="1" applyAlignment="1">
      <alignment vertical="center"/>
    </xf>
    <xf numFmtId="0" fontId="11" fillId="0" borderId="3" xfId="1" applyFont="1" applyFill="1" applyBorder="1" applyAlignment="1">
      <alignment horizontal="left" vertical="center"/>
    </xf>
    <xf numFmtId="4" fontId="10" fillId="0" borderId="5" xfId="1" applyNumberFormat="1" applyFont="1" applyFill="1" applyBorder="1" applyAlignment="1">
      <alignment horizontal="right" vertical="top" wrapText="1"/>
    </xf>
    <xf numFmtId="4" fontId="10" fillId="0" borderId="2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4" fontId="11" fillId="0" borderId="0" xfId="1" applyNumberFormat="1" applyFont="1" applyFill="1" applyBorder="1" applyAlignment="1">
      <alignment vertical="top" wrapText="1"/>
    </xf>
    <xf numFmtId="4" fontId="11" fillId="0" borderId="5" xfId="1" applyNumberFormat="1" applyFont="1" applyFill="1" applyBorder="1" applyAlignment="1">
      <alignment horizontal="right" vertical="top" wrapText="1"/>
    </xf>
    <xf numFmtId="0" fontId="10" fillId="0" borderId="5" xfId="0" applyFont="1" applyFill="1" applyBorder="1"/>
    <xf numFmtId="4" fontId="10" fillId="2" borderId="2" xfId="2" applyNumberFormat="1" applyFont="1" applyFill="1" applyBorder="1" applyAlignment="1">
      <alignment horizontal="right"/>
    </xf>
    <xf numFmtId="4" fontId="10" fillId="0" borderId="47" xfId="0" applyNumberFormat="1" applyFont="1" applyFill="1" applyBorder="1" applyAlignment="1">
      <alignment vertical="center"/>
    </xf>
    <xf numFmtId="4" fontId="11" fillId="2" borderId="31" xfId="1" applyNumberFormat="1" applyFont="1" applyFill="1" applyBorder="1" applyAlignment="1"/>
    <xf numFmtId="4" fontId="30" fillId="2" borderId="28" xfId="1" applyNumberFormat="1" applyFont="1" applyFill="1" applyBorder="1" applyAlignment="1"/>
    <xf numFmtId="4" fontId="10" fillId="2" borderId="28" xfId="1" applyNumberFormat="1" applyFont="1" applyFill="1" applyBorder="1" applyAlignment="1"/>
    <xf numFmtId="0" fontId="10" fillId="0" borderId="0" xfId="0" applyFont="1" applyFill="1" applyBorder="1" applyAlignment="1">
      <alignment vertical="top"/>
    </xf>
    <xf numFmtId="0" fontId="10" fillId="7" borderId="17" xfId="0" applyFont="1" applyFill="1" applyBorder="1" applyAlignment="1">
      <alignment horizontal="center" vertical="top"/>
    </xf>
    <xf numFmtId="0" fontId="11" fillId="7" borderId="17" xfId="0" applyFont="1" applyFill="1" applyBorder="1" applyAlignment="1">
      <alignment vertical="top"/>
    </xf>
    <xf numFmtId="0" fontId="11" fillId="7" borderId="17" xfId="0" applyFont="1" applyFill="1" applyBorder="1" applyAlignment="1">
      <alignment horizontal="center" vertical="top"/>
    </xf>
    <xf numFmtId="188" fontId="11" fillId="7" borderId="17" xfId="9" applyNumberFormat="1" applyFont="1" applyFill="1" applyBorder="1" applyAlignment="1">
      <alignment vertical="top"/>
    </xf>
    <xf numFmtId="188" fontId="57" fillId="7" borderId="17" xfId="9" applyNumberFormat="1" applyFont="1" applyFill="1" applyBorder="1" applyAlignment="1">
      <alignment horizontal="center" vertical="top"/>
    </xf>
    <xf numFmtId="0" fontId="11" fillId="22" borderId="0" xfId="0" applyFont="1" applyFill="1" applyBorder="1" applyAlignment="1">
      <alignment horizontal="center" vertical="top"/>
    </xf>
    <xf numFmtId="0" fontId="11" fillId="22" borderId="0" xfId="0" applyFont="1" applyFill="1" applyBorder="1" applyAlignment="1">
      <alignment vertical="top"/>
    </xf>
    <xf numFmtId="188" fontId="11" fillId="22" borderId="0" xfId="9" applyNumberFormat="1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vertical="top"/>
    </xf>
    <xf numFmtId="188" fontId="58" fillId="0" borderId="0" xfId="9" applyNumberFormat="1" applyFont="1" applyFill="1" applyBorder="1" applyAlignment="1">
      <alignment horizontal="center" vertical="top"/>
    </xf>
    <xf numFmtId="0" fontId="58" fillId="0" borderId="0" xfId="0" applyFont="1" applyFill="1" applyBorder="1" applyAlignment="1">
      <alignment horizontal="center" vertical="top"/>
    </xf>
    <xf numFmtId="188" fontId="58" fillId="0" borderId="0" xfId="9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188" fontId="10" fillId="0" borderId="0" xfId="9" applyNumberFormat="1" applyFont="1" applyFill="1" applyBorder="1" applyAlignment="1">
      <alignment vertical="top" wrapText="1"/>
    </xf>
    <xf numFmtId="188" fontId="10" fillId="0" borderId="0" xfId="9" applyNumberFormat="1" applyFont="1" applyFill="1" applyBorder="1" applyAlignment="1">
      <alignment vertical="top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center" vertical="top" wrapText="1"/>
    </xf>
    <xf numFmtId="188" fontId="11" fillId="0" borderId="17" xfId="9" applyNumberFormat="1" applyFont="1" applyFill="1" applyBorder="1" applyAlignment="1">
      <alignment vertical="top"/>
    </xf>
    <xf numFmtId="188" fontId="11" fillId="0" borderId="24" xfId="9" applyNumberFormat="1" applyFont="1" applyFill="1" applyBorder="1" applyAlignment="1">
      <alignment vertical="top"/>
    </xf>
    <xf numFmtId="0" fontId="11" fillId="22" borderId="24" xfId="0" applyFont="1" applyFill="1" applyBorder="1" applyAlignment="1">
      <alignment horizontal="center" vertical="top" wrapText="1"/>
    </xf>
    <xf numFmtId="0" fontId="58" fillId="0" borderId="0" xfId="0" applyFont="1" applyFill="1" applyBorder="1" applyAlignment="1">
      <alignment horizontal="right" vertical="top"/>
    </xf>
    <xf numFmtId="0" fontId="57" fillId="0" borderId="0" xfId="0" applyFont="1" applyFill="1" applyBorder="1" applyAlignment="1">
      <alignment horizontal="center" vertical="top"/>
    </xf>
    <xf numFmtId="188" fontId="10" fillId="0" borderId="0" xfId="9" applyNumberFormat="1" applyFont="1" applyFill="1" applyBorder="1" applyAlignment="1">
      <alignment horizontal="right" vertical="top"/>
    </xf>
    <xf numFmtId="188" fontId="10" fillId="0" borderId="0" xfId="9" applyNumberFormat="1" applyFont="1" applyFill="1" applyBorder="1" applyAlignment="1">
      <alignment horizontal="center" vertical="top"/>
    </xf>
    <xf numFmtId="188" fontId="10" fillId="0" borderId="0" xfId="9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right" vertical="top" wrapText="1"/>
    </xf>
    <xf numFmtId="0" fontId="11" fillId="2" borderId="0" xfId="0" applyFont="1" applyFill="1" applyBorder="1" applyAlignment="1">
      <alignment horizontal="center" vertical="top" wrapText="1"/>
    </xf>
    <xf numFmtId="188" fontId="58" fillId="0" borderId="0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right" vertical="top" wrapText="1"/>
    </xf>
    <xf numFmtId="3" fontId="10" fillId="0" borderId="0" xfId="9" applyNumberFormat="1" applyFont="1" applyFill="1" applyBorder="1" applyAlignment="1">
      <alignment horizontal="right" vertical="top" wrapText="1"/>
    </xf>
    <xf numFmtId="2" fontId="10" fillId="0" borderId="0" xfId="0" applyNumberFormat="1" applyFont="1" applyFill="1" applyBorder="1" applyAlignment="1">
      <alignment horizontal="center" vertical="top" wrapText="1"/>
    </xf>
    <xf numFmtId="188" fontId="11" fillId="0" borderId="0" xfId="9" applyNumberFormat="1" applyFont="1" applyFill="1" applyBorder="1" applyAlignment="1">
      <alignment vertical="top"/>
    </xf>
    <xf numFmtId="189" fontId="10" fillId="0" borderId="0" xfId="0" applyNumberFormat="1" applyFont="1" applyFill="1" applyBorder="1" applyAlignment="1">
      <alignment horizontal="center" vertical="top" wrapText="1"/>
    </xf>
    <xf numFmtId="188" fontId="10" fillId="2" borderId="0" xfId="9" applyNumberFormat="1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left" vertical="top" wrapText="1"/>
    </xf>
    <xf numFmtId="0" fontId="57" fillId="2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 wrapText="1"/>
    </xf>
    <xf numFmtId="188" fontId="11" fillId="0" borderId="0" xfId="0" applyNumberFormat="1" applyFont="1" applyFill="1" applyBorder="1" applyAlignment="1">
      <alignment vertical="top" wrapText="1"/>
    </xf>
    <xf numFmtId="0" fontId="11" fillId="22" borderId="24" xfId="0" applyFont="1" applyFill="1" applyBorder="1" applyAlignment="1">
      <alignment vertical="top" wrapText="1"/>
    </xf>
    <xf numFmtId="188" fontId="11" fillId="22" borderId="24" xfId="9" applyNumberFormat="1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188" fontId="9" fillId="0" borderId="77" xfId="9" applyNumberFormat="1" applyFont="1" applyFill="1" applyBorder="1" applyAlignment="1">
      <alignment vertical="top" wrapText="1"/>
    </xf>
    <xf numFmtId="188" fontId="10" fillId="0" borderId="0" xfId="0" applyNumberFormat="1" applyFont="1" applyFill="1" applyBorder="1" applyAlignment="1">
      <alignment vertical="top" wrapText="1"/>
    </xf>
    <xf numFmtId="0" fontId="59" fillId="0" borderId="28" xfId="0" applyFont="1" applyFill="1" applyBorder="1" applyAlignment="1">
      <alignment vertical="top" wrapText="1"/>
    </xf>
    <xf numFmtId="0" fontId="14" fillId="0" borderId="31" xfId="0" applyFont="1" applyFill="1" applyBorder="1" applyAlignment="1">
      <alignment vertical="top"/>
    </xf>
    <xf numFmtId="0" fontId="28" fillId="0" borderId="31" xfId="0" applyFont="1" applyFill="1" applyBorder="1" applyAlignment="1">
      <alignment vertical="top"/>
    </xf>
    <xf numFmtId="0" fontId="28" fillId="0" borderId="29" xfId="0" applyFont="1" applyFill="1" applyBorder="1" applyAlignment="1">
      <alignment vertical="top" wrapText="1"/>
    </xf>
    <xf numFmtId="3" fontId="28" fillId="0" borderId="28" xfId="0" applyNumberFormat="1" applyFont="1" applyFill="1" applyBorder="1" applyAlignment="1">
      <alignment horizontal="center" vertical="top" wrapText="1"/>
    </xf>
    <xf numFmtId="0" fontId="59" fillId="0" borderId="28" xfId="0" applyFont="1" applyFill="1" applyBorder="1" applyAlignment="1">
      <alignment vertical="top"/>
    </xf>
    <xf numFmtId="3" fontId="28" fillId="0" borderId="25" xfId="0" applyNumberFormat="1" applyFont="1" applyFill="1" applyBorder="1" applyAlignment="1">
      <alignment horizontal="center" vertical="top"/>
    </xf>
    <xf numFmtId="0" fontId="28" fillId="0" borderId="27" xfId="0" applyFont="1" applyFill="1" applyBorder="1" applyAlignment="1">
      <alignment horizontal="center" vertical="center"/>
    </xf>
    <xf numFmtId="3" fontId="28" fillId="0" borderId="27" xfId="0" applyNumberFormat="1" applyFont="1" applyFill="1" applyBorder="1" applyAlignment="1">
      <alignment horizontal="center" vertical="top"/>
    </xf>
    <xf numFmtId="0" fontId="28" fillId="0" borderId="22" xfId="0" applyFont="1" applyFill="1" applyBorder="1" applyAlignment="1">
      <alignment vertical="top" wrapText="1"/>
    </xf>
    <xf numFmtId="0" fontId="14" fillId="0" borderId="23" xfId="0" applyFont="1" applyFill="1" applyBorder="1" applyAlignment="1">
      <alignment vertical="top"/>
    </xf>
    <xf numFmtId="3" fontId="14" fillId="0" borderId="28" xfId="0" applyNumberFormat="1" applyFont="1" applyFill="1" applyBorder="1" applyAlignment="1">
      <alignment horizontal="right" vertical="center" wrapText="1"/>
    </xf>
    <xf numFmtId="0" fontId="14" fillId="0" borderId="18" xfId="0" applyFont="1" applyFill="1" applyBorder="1" applyAlignment="1">
      <alignment vertical="top"/>
    </xf>
    <xf numFmtId="0" fontId="28" fillId="0" borderId="28" xfId="0" applyFont="1" applyFill="1" applyBorder="1" applyAlignment="1">
      <alignment vertical="center" wrapText="1"/>
    </xf>
    <xf numFmtId="3" fontId="28" fillId="0" borderId="28" xfId="0" applyNumberFormat="1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left" vertical="center" wrapText="1" indent="1"/>
    </xf>
    <xf numFmtId="0" fontId="28" fillId="2" borderId="28" xfId="0" applyFont="1" applyFill="1" applyBorder="1" applyAlignment="1">
      <alignment vertical="center" wrapText="1"/>
    </xf>
    <xf numFmtId="0" fontId="14" fillId="0" borderId="28" xfId="0" applyFont="1" applyFill="1" applyBorder="1" applyAlignment="1">
      <alignment vertical="center" wrapText="1"/>
    </xf>
    <xf numFmtId="0" fontId="28" fillId="0" borderId="18" xfId="0" applyFont="1" applyFill="1" applyBorder="1" applyAlignment="1">
      <alignment vertical="top"/>
    </xf>
    <xf numFmtId="0" fontId="28" fillId="0" borderId="31" xfId="0" applyFont="1" applyFill="1" applyBorder="1" applyAlignment="1">
      <alignment horizontal="right" vertical="top"/>
    </xf>
    <xf numFmtId="0" fontId="9" fillId="2" borderId="51" xfId="1" applyFont="1" applyFill="1" applyBorder="1" applyAlignment="1">
      <alignment horizontal="center"/>
    </xf>
    <xf numFmtId="0" fontId="9" fillId="2" borderId="51" xfId="1" applyFont="1" applyFill="1" applyBorder="1" applyAlignment="1">
      <alignment horizontal="center" wrapText="1"/>
    </xf>
    <xf numFmtId="187" fontId="9" fillId="2" borderId="51" xfId="2" applyFont="1" applyFill="1" applyBorder="1" applyAlignment="1">
      <alignment horizontal="center"/>
    </xf>
    <xf numFmtId="0" fontId="26" fillId="0" borderId="0" xfId="1" applyFont="1" applyFill="1" applyBorder="1"/>
    <xf numFmtId="0" fontId="9" fillId="2" borderId="2" xfId="1" applyFont="1" applyFill="1" applyBorder="1" applyAlignment="1">
      <alignment horizontal="left" wrapText="1"/>
    </xf>
    <xf numFmtId="3" fontId="9" fillId="2" borderId="2" xfId="2" applyNumberFormat="1" applyFont="1" applyFill="1" applyBorder="1" applyAlignment="1">
      <alignment horizontal="center" vertical="top"/>
    </xf>
    <xf numFmtId="0" fontId="9" fillId="2" borderId="3" xfId="1" applyFont="1" applyFill="1" applyBorder="1" applyAlignment="1">
      <alignment horizontal="center" vertical="top"/>
    </xf>
    <xf numFmtId="0" fontId="9" fillId="0" borderId="3" xfId="1" applyFont="1" applyFill="1" applyBorder="1" applyAlignment="1">
      <alignment vertical="top" wrapText="1"/>
    </xf>
    <xf numFmtId="3" fontId="9" fillId="2" borderId="3" xfId="2" applyNumberFormat="1" applyFont="1" applyFill="1" applyBorder="1" applyAlignment="1">
      <alignment horizontal="center" vertical="top"/>
    </xf>
    <xf numFmtId="0" fontId="9" fillId="0" borderId="0" xfId="1" applyFont="1" applyFill="1" applyBorder="1"/>
    <xf numFmtId="0" fontId="26" fillId="0" borderId="0" xfId="1" applyFont="1" applyFill="1" applyBorder="1" applyAlignment="1">
      <alignment vertical="top" wrapText="1"/>
    </xf>
    <xf numFmtId="0" fontId="14" fillId="0" borderId="5" xfId="0" applyFont="1" applyFill="1" applyBorder="1" applyAlignment="1">
      <alignment horizontal="center"/>
    </xf>
    <xf numFmtId="0" fontId="14" fillId="0" borderId="0" xfId="0" applyFont="1" applyFill="1" applyBorder="1"/>
    <xf numFmtId="0" fontId="9" fillId="2" borderId="3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vertical="center"/>
    </xf>
    <xf numFmtId="3" fontId="9" fillId="2" borderId="3" xfId="2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 wrapText="1"/>
    </xf>
    <xf numFmtId="0" fontId="26" fillId="0" borderId="2" xfId="1" applyFont="1" applyFill="1" applyBorder="1" applyAlignment="1">
      <alignment horizontal="center" vertical="top" wrapText="1"/>
    </xf>
    <xf numFmtId="0" fontId="26" fillId="0" borderId="2" xfId="1" applyFont="1" applyFill="1" applyBorder="1" applyAlignment="1">
      <alignment horizontal="left" vertical="top" wrapText="1"/>
    </xf>
    <xf numFmtId="3" fontId="26" fillId="0" borderId="2" xfId="1" applyNumberFormat="1" applyFont="1" applyFill="1" applyBorder="1" applyAlignment="1">
      <alignment horizontal="right" vertical="top" wrapText="1"/>
    </xf>
    <xf numFmtId="0" fontId="26" fillId="0" borderId="5" xfId="0" quotePrefix="1" applyFont="1" applyFill="1" applyBorder="1" applyAlignment="1">
      <alignment vertical="top" wrapText="1"/>
    </xf>
    <xf numFmtId="0" fontId="26" fillId="0" borderId="5" xfId="0" quotePrefix="1" applyNumberFormat="1" applyFont="1" applyFill="1" applyBorder="1" applyAlignment="1">
      <alignment vertical="top" wrapText="1"/>
    </xf>
    <xf numFmtId="0" fontId="26" fillId="0" borderId="6" xfId="1" applyFont="1" applyFill="1" applyBorder="1" applyAlignment="1">
      <alignment horizontal="center" vertical="top" wrapText="1"/>
    </xf>
    <xf numFmtId="0" fontId="26" fillId="0" borderId="47" xfId="1" applyFont="1" applyFill="1" applyBorder="1" applyAlignment="1">
      <alignment horizontal="left" vertical="top" wrapText="1"/>
    </xf>
    <xf numFmtId="187" fontId="26" fillId="0" borderId="6" xfId="2" applyFont="1" applyFill="1" applyBorder="1" applyAlignment="1">
      <alignment vertical="top" wrapText="1"/>
    </xf>
    <xf numFmtId="0" fontId="9" fillId="2" borderId="7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right"/>
    </xf>
    <xf numFmtId="0" fontId="9" fillId="2" borderId="10" xfId="1" applyFont="1" applyFill="1" applyBorder="1" applyAlignment="1">
      <alignment horizontal="center"/>
    </xf>
    <xf numFmtId="0" fontId="61" fillId="2" borderId="11" xfId="1" applyFont="1" applyFill="1" applyBorder="1" applyAlignment="1">
      <alignment horizontal="right"/>
    </xf>
    <xf numFmtId="0" fontId="61" fillId="2" borderId="12" xfId="1" applyFont="1" applyFill="1" applyBorder="1" applyAlignment="1"/>
    <xf numFmtId="0" fontId="9" fillId="2" borderId="13" xfId="1" applyFont="1" applyFill="1" applyBorder="1" applyAlignment="1">
      <alignment horizontal="center"/>
    </xf>
    <xf numFmtId="0" fontId="26" fillId="2" borderId="14" xfId="1" applyFont="1" applyFill="1" applyBorder="1"/>
    <xf numFmtId="0" fontId="26" fillId="2" borderId="15" xfId="1" applyFont="1" applyFill="1" applyBorder="1" applyAlignment="1"/>
    <xf numFmtId="187" fontId="26" fillId="0" borderId="0" xfId="1" applyNumberFormat="1" applyFont="1" applyFill="1" applyBorder="1" applyAlignment="1"/>
    <xf numFmtId="0" fontId="26" fillId="0" borderId="0" xfId="1" applyFont="1" applyFill="1" applyBorder="1" applyAlignment="1"/>
    <xf numFmtId="0" fontId="11" fillId="0" borderId="0" xfId="1" applyFont="1" applyFill="1" applyBorder="1" applyAlignment="1">
      <alignment horizontal="center"/>
    </xf>
    <xf numFmtId="49" fontId="10" fillId="0" borderId="28" xfId="0" applyNumberFormat="1" applyFont="1" applyFill="1" applyBorder="1" applyAlignment="1">
      <alignment horizontal="left" wrapText="1"/>
    </xf>
    <xf numFmtId="0" fontId="11" fillId="0" borderId="28" xfId="0" applyFont="1" applyFill="1" applyBorder="1" applyAlignment="1">
      <alignment horizontal="center" vertical="center"/>
    </xf>
    <xf numFmtId="188" fontId="26" fillId="0" borderId="28" xfId="9" applyNumberFormat="1" applyFont="1" applyFill="1" applyBorder="1" applyAlignment="1">
      <alignment horizontal="right"/>
    </xf>
    <xf numFmtId="0" fontId="11" fillId="0" borderId="0" xfId="0" applyFont="1" applyFill="1" applyBorder="1"/>
    <xf numFmtId="0" fontId="36" fillId="0" borderId="28" xfId="0" applyFont="1" applyBorder="1"/>
    <xf numFmtId="188" fontId="62" fillId="0" borderId="28" xfId="9" applyNumberFormat="1" applyFont="1" applyBorder="1"/>
    <xf numFmtId="188" fontId="36" fillId="0" borderId="28" xfId="9" applyNumberFormat="1" applyFont="1" applyBorder="1"/>
    <xf numFmtId="0" fontId="62" fillId="0" borderId="28" xfId="0" applyFont="1" applyBorder="1" applyAlignment="1">
      <alignment horizontal="center"/>
    </xf>
    <xf numFmtId="0" fontId="11" fillId="10" borderId="28" xfId="0" applyFont="1" applyFill="1" applyBorder="1" applyAlignment="1">
      <alignment horizontal="left" vertical="top" wrapText="1"/>
    </xf>
    <xf numFmtId="0" fontId="11" fillId="0" borderId="28" xfId="0" applyFont="1" applyFill="1" applyBorder="1" applyAlignment="1">
      <alignment horizontal="left" vertical="center" wrapText="1"/>
    </xf>
    <xf numFmtId="188" fontId="36" fillId="0" borderId="29" xfId="9" applyNumberFormat="1" applyFont="1" applyBorder="1"/>
    <xf numFmtId="0" fontId="62" fillId="0" borderId="29" xfId="0" applyFont="1" applyBorder="1" applyAlignment="1">
      <alignment horizontal="center"/>
    </xf>
    <xf numFmtId="188" fontId="32" fillId="0" borderId="28" xfId="9" applyNumberFormat="1" applyFont="1" applyBorder="1"/>
    <xf numFmtId="0" fontId="36" fillId="0" borderId="28" xfId="0" applyFont="1" applyBorder="1" applyAlignment="1">
      <alignment vertical="top"/>
    </xf>
    <xf numFmtId="0" fontId="10" fillId="3" borderId="28" xfId="0" applyFont="1" applyFill="1" applyBorder="1" applyAlignment="1">
      <alignment horizontal="left"/>
    </xf>
    <xf numFmtId="0" fontId="11" fillId="3" borderId="28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left" vertical="top" wrapText="1"/>
    </xf>
    <xf numFmtId="3" fontId="11" fillId="3" borderId="29" xfId="0" applyNumberFormat="1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3" fontId="11" fillId="3" borderId="28" xfId="0" applyNumberFormat="1" applyFont="1" applyFill="1" applyBorder="1" applyAlignment="1">
      <alignment horizontal="center"/>
    </xf>
    <xf numFmtId="188" fontId="11" fillId="3" borderId="28" xfId="9" applyNumberFormat="1" applyFont="1" applyFill="1" applyBorder="1" applyAlignment="1">
      <alignment horizontal="right"/>
    </xf>
    <xf numFmtId="0" fontId="10" fillId="3" borderId="0" xfId="0" applyFont="1" applyFill="1" applyBorder="1"/>
    <xf numFmtId="0" fontId="11" fillId="0" borderId="31" xfId="0" applyFont="1" applyFill="1" applyBorder="1" applyAlignment="1">
      <alignment horizontal="center" vertical="center"/>
    </xf>
    <xf numFmtId="0" fontId="11" fillId="0" borderId="28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left" wrapText="1" indent="2"/>
    </xf>
    <xf numFmtId="0" fontId="26" fillId="0" borderId="28" xfId="0" applyFont="1" applyFill="1" applyBorder="1" applyAlignment="1">
      <alignment horizontal="left" vertical="top" wrapText="1" indent="2"/>
    </xf>
    <xf numFmtId="0" fontId="9" fillId="2" borderId="5" xfId="1" applyFont="1" applyFill="1" applyBorder="1" applyAlignment="1">
      <alignment horizontal="left" vertical="top" wrapText="1"/>
    </xf>
    <xf numFmtId="0" fontId="9" fillId="0" borderId="5" xfId="1" applyFont="1" applyFill="1" applyBorder="1" applyAlignment="1">
      <alignment horizontal="left" vertical="top" wrapText="1"/>
    </xf>
    <xf numFmtId="3" fontId="9" fillId="0" borderId="5" xfId="1" applyNumberFormat="1" applyFont="1" applyFill="1" applyBorder="1" applyAlignment="1">
      <alignment horizontal="center" vertical="top" wrapText="1"/>
    </xf>
    <xf numFmtId="3" fontId="9" fillId="0" borderId="5" xfId="1" applyNumberFormat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top" wrapText="1"/>
    </xf>
    <xf numFmtId="0" fontId="9" fillId="0" borderId="4" xfId="1" applyFont="1" applyFill="1" applyBorder="1" applyAlignment="1">
      <alignment horizontal="center" vertical="top" wrapText="1"/>
    </xf>
    <xf numFmtId="0" fontId="9" fillId="0" borderId="4" xfId="1" applyFont="1" applyFill="1" applyBorder="1" applyAlignment="1">
      <alignment horizontal="left" vertical="top" wrapText="1"/>
    </xf>
    <xf numFmtId="3" fontId="9" fillId="0" borderId="4" xfId="1" applyNumberFormat="1" applyFont="1" applyFill="1" applyBorder="1" applyAlignment="1">
      <alignment horizontal="center" vertical="top" wrapText="1"/>
    </xf>
    <xf numFmtId="0" fontId="35" fillId="8" borderId="24" xfId="5" applyFont="1" applyFill="1" applyBorder="1" applyAlignment="1">
      <alignment wrapText="1"/>
    </xf>
    <xf numFmtId="0" fontId="28" fillId="0" borderId="5" xfId="0" applyFont="1" applyFill="1" applyBorder="1" applyAlignment="1">
      <alignment vertical="center" wrapText="1"/>
    </xf>
    <xf numFmtId="0" fontId="9" fillId="12" borderId="3" xfId="1" applyFont="1" applyFill="1" applyBorder="1" applyAlignment="1">
      <alignment horizontal="center" vertical="center"/>
    </xf>
    <xf numFmtId="0" fontId="9" fillId="13" borderId="3" xfId="1" applyFont="1" applyFill="1" applyBorder="1" applyAlignment="1">
      <alignment horizontal="left" vertical="center" wrapText="1"/>
    </xf>
    <xf numFmtId="3" fontId="9" fillId="12" borderId="3" xfId="2" applyNumberFormat="1" applyFont="1" applyFill="1" applyBorder="1" applyAlignment="1">
      <alignment horizontal="center"/>
    </xf>
    <xf numFmtId="0" fontId="28" fillId="13" borderId="3" xfId="0" applyFont="1" applyFill="1" applyBorder="1" applyAlignment="1">
      <alignment horizontal="center" vertical="center"/>
    </xf>
    <xf numFmtId="0" fontId="35" fillId="0" borderId="27" xfId="5" applyFont="1" applyFill="1" applyBorder="1" applyAlignment="1">
      <alignment vertical="top" wrapText="1"/>
    </xf>
    <xf numFmtId="1" fontId="11" fillId="0" borderId="29" xfId="10" applyNumberFormat="1" applyFont="1" applyFill="1" applyBorder="1" applyAlignment="1">
      <alignment horizontal="left" vertical="top"/>
    </xf>
    <xf numFmtId="0" fontId="11" fillId="0" borderId="0" xfId="10" applyFont="1" applyFill="1" applyBorder="1" applyAlignment="1">
      <alignment vertical="top"/>
    </xf>
    <xf numFmtId="188" fontId="11" fillId="0" borderId="29" xfId="11" applyNumberFormat="1" applyFont="1" applyFill="1" applyBorder="1" applyAlignment="1">
      <alignment horizontal="center" vertical="top"/>
    </xf>
    <xf numFmtId="0" fontId="10" fillId="0" borderId="61" xfId="10" applyFont="1" applyFill="1" applyBorder="1" applyAlignment="1">
      <alignment horizontal="center"/>
    </xf>
    <xf numFmtId="0" fontId="10" fillId="0" borderId="11" xfId="12" applyFont="1" applyFill="1" applyBorder="1" applyAlignment="1">
      <alignment horizontal="left" vertical="center"/>
    </xf>
    <xf numFmtId="188" fontId="10" fillId="0" borderId="61" xfId="11" applyNumberFormat="1" applyFont="1" applyFill="1" applyBorder="1" applyAlignment="1">
      <alignment horizontal="right"/>
    </xf>
    <xf numFmtId="0" fontId="10" fillId="0" borderId="11" xfId="13" applyFont="1" applyFill="1" applyBorder="1" applyAlignment="1">
      <alignment horizontal="left" vertical="center"/>
    </xf>
    <xf numFmtId="2" fontId="10" fillId="0" borderId="31" xfId="10" applyNumberFormat="1" applyFont="1" applyFill="1" applyBorder="1" applyAlignment="1">
      <alignment horizontal="center"/>
    </xf>
    <xf numFmtId="0" fontId="10" fillId="0" borderId="0" xfId="10" applyFont="1" applyFill="1" applyBorder="1" applyAlignment="1">
      <alignment wrapText="1"/>
    </xf>
    <xf numFmtId="188" fontId="64" fillId="0" borderId="31" xfId="11" applyNumberFormat="1" applyFont="1" applyFill="1" applyBorder="1" applyAlignment="1">
      <alignment horizontal="right"/>
    </xf>
    <xf numFmtId="3" fontId="11" fillId="15" borderId="19" xfId="10" applyNumberFormat="1" applyFont="1" applyFill="1" applyBorder="1" applyAlignment="1">
      <alignment vertical="top"/>
    </xf>
    <xf numFmtId="0" fontId="11" fillId="13" borderId="23" xfId="10" applyFont="1" applyFill="1" applyBorder="1" applyAlignment="1">
      <alignment horizontal="left" vertical="top" wrapText="1"/>
    </xf>
    <xf numFmtId="0" fontId="57" fillId="13" borderId="25" xfId="10" applyFont="1" applyFill="1" applyBorder="1" applyAlignment="1">
      <alignment horizontal="right" vertical="top"/>
    </xf>
    <xf numFmtId="0" fontId="11" fillId="13" borderId="32" xfId="10" applyFont="1" applyFill="1" applyBorder="1" applyAlignment="1">
      <alignment horizontal="center" vertical="top" wrapText="1"/>
    </xf>
    <xf numFmtId="0" fontId="10" fillId="13" borderId="27" xfId="10" applyFont="1" applyFill="1" applyBorder="1"/>
    <xf numFmtId="0" fontId="10" fillId="0" borderId="66" xfId="10" applyFont="1" applyFill="1" applyBorder="1" applyAlignment="1">
      <alignment horizontal="center" wrapText="1"/>
    </xf>
    <xf numFmtId="0" fontId="10" fillId="0" borderId="64" xfId="14" applyFont="1" applyFill="1" applyBorder="1" applyAlignment="1">
      <alignment horizontal="left" vertical="center"/>
    </xf>
    <xf numFmtId="3" fontId="10" fillId="0" borderId="66" xfId="10" applyNumberFormat="1" applyFont="1" applyFill="1" applyBorder="1" applyAlignment="1">
      <alignment horizontal="right"/>
    </xf>
    <xf numFmtId="0" fontId="10" fillId="0" borderId="11" xfId="14" applyFont="1" applyFill="1" applyBorder="1" applyAlignment="1">
      <alignment horizontal="left" vertical="center" wrapText="1"/>
    </xf>
    <xf numFmtId="3" fontId="10" fillId="0" borderId="61" xfId="10" applyNumberFormat="1" applyFont="1" applyFill="1" applyBorder="1" applyAlignment="1">
      <alignment horizontal="right"/>
    </xf>
    <xf numFmtId="0" fontId="10" fillId="0" borderId="61" xfId="10" applyFont="1" applyFill="1" applyBorder="1" applyAlignment="1">
      <alignment horizontal="center" wrapText="1"/>
    </xf>
    <xf numFmtId="0" fontId="10" fillId="0" borderId="11" xfId="14" applyFont="1" applyFill="1" applyBorder="1" applyAlignment="1">
      <alignment horizontal="left" vertical="center"/>
    </xf>
    <xf numFmtId="0" fontId="10" fillId="0" borderId="31" xfId="10" applyFont="1" applyFill="1" applyBorder="1" applyAlignment="1">
      <alignment horizontal="center"/>
    </xf>
    <xf numFmtId="0" fontId="10" fillId="0" borderId="26" xfId="14" applyFont="1" applyFill="1" applyBorder="1" applyAlignment="1">
      <alignment horizontal="left" vertical="center"/>
    </xf>
    <xf numFmtId="3" fontId="57" fillId="0" borderId="31" xfId="10" applyNumberFormat="1" applyFont="1" applyFill="1" applyBorder="1" applyAlignment="1">
      <alignment horizontal="right"/>
    </xf>
    <xf numFmtId="0" fontId="10" fillId="0" borderId="63" xfId="10" applyFont="1" applyFill="1" applyBorder="1" applyAlignment="1">
      <alignment horizontal="center" wrapText="1"/>
    </xf>
    <xf numFmtId="0" fontId="10" fillId="0" borderId="66" xfId="15" applyFont="1" applyFill="1" applyBorder="1" applyAlignment="1">
      <alignment vertical="center" wrapText="1"/>
    </xf>
    <xf numFmtId="0" fontId="10" fillId="0" borderId="36" xfId="10" applyFont="1" applyFill="1" applyBorder="1" applyAlignment="1">
      <alignment horizontal="center"/>
    </xf>
    <xf numFmtId="0" fontId="10" fillId="0" borderId="61" xfId="15" applyFont="1" applyFill="1" applyBorder="1" applyAlignment="1">
      <alignment vertical="center"/>
    </xf>
    <xf numFmtId="0" fontId="10" fillId="0" borderId="36" xfId="10" applyFont="1" applyFill="1" applyBorder="1" applyAlignment="1">
      <alignment horizontal="center" wrapText="1"/>
    </xf>
    <xf numFmtId="0" fontId="10" fillId="0" borderId="61" xfId="15" applyFont="1" applyFill="1" applyBorder="1" applyAlignment="1">
      <alignment vertical="center" wrapText="1"/>
    </xf>
    <xf numFmtId="0" fontId="10" fillId="0" borderId="32" xfId="10" applyFont="1" applyFill="1" applyBorder="1" applyAlignment="1">
      <alignment horizontal="left"/>
    </xf>
    <xf numFmtId="0" fontId="10" fillId="0" borderId="31" xfId="10" applyFont="1" applyFill="1" applyBorder="1" applyAlignment="1">
      <alignment horizontal="left"/>
    </xf>
    <xf numFmtId="0" fontId="10" fillId="0" borderId="0" xfId="10" applyFont="1" applyFill="1" applyBorder="1"/>
    <xf numFmtId="0" fontId="10" fillId="13" borderId="32" xfId="10" applyFont="1" applyFill="1" applyBorder="1" applyAlignment="1">
      <alignment horizontal="center" vertical="top"/>
    </xf>
    <xf numFmtId="0" fontId="10" fillId="0" borderId="66" xfId="10" applyFont="1" applyFill="1" applyBorder="1" applyAlignment="1">
      <alignment horizontal="center" vertical="top"/>
    </xf>
    <xf numFmtId="0" fontId="10" fillId="0" borderId="39" xfId="16" applyFont="1" applyFill="1" applyBorder="1" applyAlignment="1">
      <alignment horizontal="left" vertical="center"/>
    </xf>
    <xf numFmtId="188" fontId="10" fillId="0" borderId="66" xfId="10" applyNumberFormat="1" applyFont="1" applyFill="1" applyBorder="1" applyAlignment="1">
      <alignment horizontal="right" vertical="top"/>
    </xf>
    <xf numFmtId="0" fontId="10" fillId="0" borderId="61" xfId="10" applyFont="1" applyFill="1" applyBorder="1" applyAlignment="1">
      <alignment horizontal="center" vertical="top"/>
    </xf>
    <xf numFmtId="0" fontId="10" fillId="0" borderId="11" xfId="16" applyFont="1" applyFill="1" applyBorder="1" applyAlignment="1">
      <alignment horizontal="left" vertical="center" wrapText="1"/>
    </xf>
    <xf numFmtId="188" fontId="10" fillId="0" borderId="61" xfId="10" applyNumberFormat="1" applyFont="1" applyFill="1" applyBorder="1" applyAlignment="1">
      <alignment horizontal="right" vertical="top"/>
    </xf>
    <xf numFmtId="0" fontId="10" fillId="0" borderId="11" xfId="16" applyFont="1" applyFill="1" applyBorder="1" applyAlignment="1">
      <alignment horizontal="left" vertical="center"/>
    </xf>
    <xf numFmtId="0" fontId="10" fillId="0" borderId="11" xfId="16" applyFont="1" applyFill="1" applyBorder="1" applyAlignment="1">
      <alignment vertical="center"/>
    </xf>
    <xf numFmtId="0" fontId="10" fillId="0" borderId="31" xfId="10" applyFont="1" applyFill="1" applyBorder="1" applyAlignment="1">
      <alignment horizontal="center" vertical="top"/>
    </xf>
    <xf numFmtId="0" fontId="10" fillId="0" borderId="26" xfId="10" applyFont="1" applyFill="1" applyBorder="1" applyAlignment="1">
      <alignment vertical="top" wrapText="1"/>
    </xf>
    <xf numFmtId="188" fontId="64" fillId="0" borderId="31" xfId="11" applyNumberFormat="1" applyFont="1" applyFill="1" applyBorder="1" applyAlignment="1">
      <alignment horizontal="right" vertical="top"/>
    </xf>
    <xf numFmtId="0" fontId="11" fillId="13" borderId="23" xfId="10" applyFont="1" applyFill="1" applyBorder="1" applyAlignment="1">
      <alignment horizontal="left" wrapText="1"/>
    </xf>
    <xf numFmtId="189" fontId="11" fillId="13" borderId="18" xfId="10" applyNumberFormat="1" applyFont="1" applyFill="1" applyBorder="1" applyAlignment="1">
      <alignment horizontal="center" vertical="top"/>
    </xf>
    <xf numFmtId="0" fontId="11" fillId="13" borderId="19" xfId="10" applyFont="1" applyFill="1" applyBorder="1" applyAlignment="1">
      <alignment horizontal="center" vertical="top"/>
    </xf>
    <xf numFmtId="0" fontId="11" fillId="0" borderId="0" xfId="10" applyFont="1" applyFill="1" applyBorder="1" applyAlignment="1">
      <alignment horizontal="center" vertical="top"/>
    </xf>
    <xf numFmtId="188" fontId="11" fillId="0" borderId="0" xfId="11" applyNumberFormat="1" applyFont="1" applyFill="1" applyBorder="1" applyAlignment="1">
      <alignment horizontal="right" vertical="top"/>
    </xf>
    <xf numFmtId="0" fontId="10" fillId="0" borderId="66" xfId="17" applyFont="1" applyFill="1" applyBorder="1" applyAlignment="1">
      <alignment vertical="center" wrapText="1"/>
    </xf>
    <xf numFmtId="0" fontId="63" fillId="0" borderId="0" xfId="10" applyFont="1" applyFill="1" applyBorder="1" applyAlignment="1">
      <alignment vertical="top"/>
    </xf>
    <xf numFmtId="188" fontId="58" fillId="0" borderId="0" xfId="11" applyNumberFormat="1" applyFont="1" applyFill="1" applyBorder="1" applyAlignment="1">
      <alignment horizontal="right" vertical="top"/>
    </xf>
    <xf numFmtId="0" fontId="58" fillId="0" borderId="0" xfId="10" applyFont="1" applyFill="1" applyBorder="1" applyAlignment="1">
      <alignment horizontal="center" vertical="top"/>
    </xf>
    <xf numFmtId="0" fontId="58" fillId="0" borderId="0" xfId="10" applyFont="1" applyFill="1" applyBorder="1" applyAlignment="1">
      <alignment horizontal="right" vertical="top"/>
    </xf>
    <xf numFmtId="0" fontId="10" fillId="0" borderId="61" xfId="17" applyFont="1" applyFill="1" applyBorder="1" applyAlignment="1">
      <alignment vertical="center"/>
    </xf>
    <xf numFmtId="0" fontId="10" fillId="0" borderId="61" xfId="17" applyFont="1" applyFill="1" applyBorder="1" applyAlignment="1">
      <alignment vertical="center" wrapText="1"/>
    </xf>
    <xf numFmtId="0" fontId="10" fillId="0" borderId="0" xfId="10" applyFont="1" applyFill="1" applyBorder="1" applyAlignment="1">
      <alignment horizontal="center" vertical="top" wrapText="1"/>
    </xf>
    <xf numFmtId="188" fontId="10" fillId="0" borderId="0" xfId="11" applyNumberFormat="1" applyFont="1" applyFill="1" applyBorder="1" applyAlignment="1">
      <alignment horizontal="right" vertical="top" wrapText="1"/>
    </xf>
    <xf numFmtId="187" fontId="10" fillId="0" borderId="0" xfId="11" applyFont="1" applyFill="1" applyBorder="1" applyAlignment="1">
      <alignment horizontal="center" vertical="top" wrapText="1"/>
    </xf>
    <xf numFmtId="0" fontId="10" fillId="0" borderId="0" xfId="10" applyFont="1" applyFill="1" applyBorder="1" applyAlignment="1">
      <alignment horizontal="center" vertical="top"/>
    </xf>
    <xf numFmtId="188" fontId="10" fillId="0" borderId="0" xfId="11" applyNumberFormat="1" applyFont="1" applyFill="1" applyBorder="1" applyAlignment="1">
      <alignment horizontal="right" vertical="top"/>
    </xf>
    <xf numFmtId="0" fontId="10" fillId="0" borderId="32" xfId="10" applyFont="1" applyFill="1" applyBorder="1" applyAlignment="1">
      <alignment horizontal="center"/>
    </xf>
    <xf numFmtId="0" fontId="10" fillId="0" borderId="31" xfId="10" applyFont="1" applyFill="1" applyBorder="1" applyAlignment="1">
      <alignment wrapText="1"/>
    </xf>
    <xf numFmtId="0" fontId="10" fillId="0" borderId="0" xfId="10" applyFont="1" applyFill="1" applyBorder="1" applyAlignment="1">
      <alignment vertical="top" wrapText="1"/>
    </xf>
    <xf numFmtId="187" fontId="10" fillId="0" borderId="0" xfId="11" applyFont="1" applyFill="1" applyBorder="1" applyAlignment="1">
      <alignment horizontal="right" vertical="top" wrapText="1"/>
    </xf>
    <xf numFmtId="1" fontId="10" fillId="0" borderId="0" xfId="10" applyNumberFormat="1" applyFont="1" applyFill="1" applyBorder="1" applyAlignment="1">
      <alignment horizontal="center" vertical="top" wrapText="1"/>
    </xf>
    <xf numFmtId="0" fontId="11" fillId="13" borderId="18" xfId="10" applyFont="1" applyFill="1" applyBorder="1" applyAlignment="1">
      <alignment horizontal="left" vertical="top"/>
    </xf>
    <xf numFmtId="0" fontId="11" fillId="13" borderId="0" xfId="10" applyNumberFormat="1" applyFont="1" applyFill="1" applyBorder="1" applyAlignment="1">
      <alignment horizontal="left" vertical="top" wrapText="1"/>
    </xf>
    <xf numFmtId="0" fontId="57" fillId="13" borderId="19" xfId="10" applyFont="1" applyFill="1" applyBorder="1" applyAlignment="1">
      <alignment horizontal="right" vertical="top"/>
    </xf>
    <xf numFmtId="0" fontId="10" fillId="0" borderId="63" xfId="10" applyFont="1" applyFill="1" applyBorder="1" applyAlignment="1">
      <alignment horizontal="center" vertical="top"/>
    </xf>
    <xf numFmtId="0" fontId="10" fillId="0" borderId="66" xfId="10" applyFont="1" applyFill="1" applyBorder="1" applyAlignment="1">
      <alignment vertical="top" wrapText="1"/>
    </xf>
    <xf numFmtId="188" fontId="10" fillId="0" borderId="66" xfId="11" applyNumberFormat="1" applyFont="1" applyFill="1" applyBorder="1" applyAlignment="1">
      <alignment horizontal="right" vertical="top"/>
    </xf>
    <xf numFmtId="0" fontId="10" fillId="0" borderId="32" xfId="10" applyFont="1" applyFill="1" applyBorder="1" applyAlignment="1">
      <alignment horizontal="center" vertical="top"/>
    </xf>
    <xf numFmtId="0" fontId="10" fillId="0" borderId="31" xfId="10" applyFont="1" applyFill="1" applyBorder="1" applyAlignment="1">
      <alignment vertical="top" wrapText="1"/>
    </xf>
    <xf numFmtId="0" fontId="11" fillId="13" borderId="20" xfId="10" applyFont="1" applyFill="1" applyBorder="1" applyAlignment="1">
      <alignment horizontal="left" vertical="top"/>
    </xf>
    <xf numFmtId="0" fontId="11" fillId="13" borderId="21" xfId="10" applyFont="1" applyFill="1" applyBorder="1" applyAlignment="1">
      <alignment vertical="top" wrapText="1"/>
    </xf>
    <xf numFmtId="0" fontId="57" fillId="13" borderId="22" xfId="10" applyFont="1" applyFill="1" applyBorder="1" applyAlignment="1">
      <alignment horizontal="right" vertical="top"/>
    </xf>
    <xf numFmtId="0" fontId="10" fillId="0" borderId="38" xfId="10" applyFont="1" applyFill="1" applyBorder="1" applyAlignment="1">
      <alignment horizontal="center" vertical="top"/>
    </xf>
    <xf numFmtId="0" fontId="10" fillId="0" borderId="66" xfId="18" applyFont="1" applyFill="1" applyBorder="1" applyAlignment="1">
      <alignment vertical="center"/>
    </xf>
    <xf numFmtId="3" fontId="10" fillId="0" borderId="66" xfId="10" applyNumberFormat="1" applyFont="1" applyFill="1" applyBorder="1" applyAlignment="1">
      <alignment horizontal="right" vertical="center"/>
    </xf>
    <xf numFmtId="0" fontId="10" fillId="0" borderId="36" xfId="10" applyFont="1" applyFill="1" applyBorder="1" applyAlignment="1">
      <alignment horizontal="center" vertical="top"/>
    </xf>
    <xf numFmtId="0" fontId="10" fillId="0" borderId="61" xfId="18" applyFont="1" applyFill="1" applyBorder="1" applyAlignment="1">
      <alignment vertical="center"/>
    </xf>
    <xf numFmtId="3" fontId="10" fillId="0" borderId="61" xfId="10" applyNumberFormat="1" applyFont="1" applyFill="1" applyBorder="1" applyAlignment="1">
      <alignment horizontal="right" vertical="center"/>
    </xf>
    <xf numFmtId="0" fontId="10" fillId="0" borderId="18" xfId="10" applyFont="1" applyFill="1" applyBorder="1" applyAlignment="1">
      <alignment horizontal="center" vertical="top"/>
    </xf>
    <xf numFmtId="0" fontId="10" fillId="0" borderId="30" xfId="10" applyFont="1" applyFill="1" applyBorder="1" applyAlignment="1">
      <alignment vertical="top"/>
    </xf>
    <xf numFmtId="188" fontId="64" fillId="0" borderId="30" xfId="11" applyNumberFormat="1" applyFont="1" applyFill="1" applyBorder="1" applyAlignment="1">
      <alignment horizontal="right" vertical="top"/>
    </xf>
    <xf numFmtId="0" fontId="10" fillId="0" borderId="66" xfId="19" applyFont="1" applyFill="1" applyBorder="1" applyAlignment="1">
      <alignment vertical="center" wrapText="1"/>
    </xf>
    <xf numFmtId="188" fontId="10" fillId="0" borderId="65" xfId="11" applyNumberFormat="1" applyFont="1" applyFill="1" applyBorder="1" applyAlignment="1">
      <alignment horizontal="center" vertical="top"/>
    </xf>
    <xf numFmtId="0" fontId="10" fillId="0" borderId="61" xfId="19" applyFont="1" applyFill="1" applyBorder="1" applyAlignment="1">
      <alignment vertical="center" wrapText="1"/>
    </xf>
    <xf numFmtId="188" fontId="10" fillId="0" borderId="37" xfId="11" applyNumberFormat="1" applyFont="1" applyFill="1" applyBorder="1" applyAlignment="1">
      <alignment horizontal="center" vertical="top"/>
    </xf>
    <xf numFmtId="188" fontId="64" fillId="0" borderId="27" xfId="11" applyNumberFormat="1" applyFont="1" applyFill="1" applyBorder="1" applyAlignment="1">
      <alignment horizontal="right" vertical="top"/>
    </xf>
    <xf numFmtId="189" fontId="11" fillId="13" borderId="20" xfId="10" applyNumberFormat="1" applyFont="1" applyFill="1" applyBorder="1" applyAlignment="1">
      <alignment horizontal="left" vertical="top"/>
    </xf>
    <xf numFmtId="0" fontId="10" fillId="0" borderId="66" xfId="10" applyFont="1" applyFill="1" applyBorder="1" applyAlignment="1">
      <alignment horizontal="left"/>
    </xf>
    <xf numFmtId="3" fontId="10" fillId="0" borderId="40" xfId="10" applyNumberFormat="1" applyFont="1" applyFill="1" applyBorder="1" applyAlignment="1">
      <alignment horizontal="right" vertical="center"/>
    </xf>
    <xf numFmtId="0" fontId="10" fillId="0" borderId="61" xfId="10" applyFont="1" applyFill="1" applyBorder="1" applyAlignment="1">
      <alignment wrapText="1"/>
    </xf>
    <xf numFmtId="3" fontId="10" fillId="0" borderId="37" xfId="10" applyNumberFormat="1" applyFont="1" applyFill="1" applyBorder="1" applyAlignment="1">
      <alignment horizontal="right" vertical="center"/>
    </xf>
    <xf numFmtId="0" fontId="10" fillId="0" borderId="61" xfId="10" applyFont="1" applyFill="1" applyBorder="1" applyAlignment="1"/>
    <xf numFmtId="0" fontId="10" fillId="0" borderId="61" xfId="10" applyFont="1" applyFill="1" applyBorder="1" applyAlignment="1">
      <alignment horizontal="left" wrapText="1"/>
    </xf>
    <xf numFmtId="0" fontId="10" fillId="0" borderId="31" xfId="10" applyFont="1" applyFill="1" applyBorder="1" applyAlignment="1">
      <alignment vertical="top"/>
    </xf>
    <xf numFmtId="0" fontId="10" fillId="0" borderId="0" xfId="10" applyFont="1" applyFill="1" applyBorder="1" applyAlignment="1">
      <alignment vertical="top"/>
    </xf>
    <xf numFmtId="188" fontId="64" fillId="0" borderId="19" xfId="11" applyNumberFormat="1" applyFont="1" applyFill="1" applyBorder="1" applyAlignment="1">
      <alignment horizontal="right" vertical="top"/>
    </xf>
    <xf numFmtId="0" fontId="10" fillId="0" borderId="66" xfId="10" applyFont="1" applyFill="1" applyBorder="1"/>
    <xf numFmtId="3" fontId="10" fillId="0" borderId="65" xfId="10" applyNumberFormat="1" applyFont="1" applyFill="1" applyBorder="1" applyAlignment="1">
      <alignment horizontal="right" vertical="center"/>
    </xf>
    <xf numFmtId="0" fontId="10" fillId="0" borderId="61" xfId="10" applyFont="1" applyFill="1" applyBorder="1" applyAlignment="1">
      <alignment horizontal="left" vertical="center" wrapText="1"/>
    </xf>
    <xf numFmtId="0" fontId="10" fillId="0" borderId="61" xfId="10" applyFont="1" applyFill="1" applyBorder="1"/>
    <xf numFmtId="0" fontId="10" fillId="0" borderId="61" xfId="10" applyFont="1" applyFill="1" applyBorder="1" applyAlignment="1">
      <alignment horizontal="left" vertical="top" wrapText="1"/>
    </xf>
    <xf numFmtId="2" fontId="11" fillId="13" borderId="20" xfId="10" applyNumberFormat="1" applyFont="1" applyFill="1" applyBorder="1" applyAlignment="1">
      <alignment horizontal="left" vertical="top"/>
    </xf>
    <xf numFmtId="0" fontId="11" fillId="13" borderId="21" xfId="10" applyFont="1" applyFill="1" applyBorder="1" applyAlignment="1">
      <alignment horizontal="left" vertical="top" wrapText="1"/>
    </xf>
    <xf numFmtId="0" fontId="10" fillId="0" borderId="61" xfId="10" applyFont="1" applyFill="1" applyBorder="1" applyAlignment="1">
      <alignment vertical="top" wrapText="1"/>
    </xf>
    <xf numFmtId="188" fontId="64" fillId="0" borderId="37" xfId="11" applyNumberFormat="1" applyFont="1" applyFill="1" applyBorder="1" applyAlignment="1">
      <alignment horizontal="right" vertical="top"/>
    </xf>
    <xf numFmtId="188" fontId="10" fillId="0" borderId="27" xfId="11" applyNumberFormat="1" applyFont="1" applyFill="1" applyBorder="1" applyAlignment="1">
      <alignment horizontal="right" vertical="top"/>
    </xf>
    <xf numFmtId="2" fontId="11" fillId="0" borderId="23" xfId="10" applyNumberFormat="1" applyFont="1" applyFill="1" applyBorder="1" applyAlignment="1">
      <alignment horizontal="left" vertical="top"/>
    </xf>
    <xf numFmtId="0" fontId="11" fillId="0" borderId="29" xfId="10" applyFont="1" applyFill="1" applyBorder="1" applyAlignment="1">
      <alignment vertical="top" wrapText="1"/>
    </xf>
    <xf numFmtId="0" fontId="57" fillId="0" borderId="25" xfId="10" applyFont="1" applyFill="1" applyBorder="1" applyAlignment="1">
      <alignment horizontal="right" vertical="top"/>
    </xf>
    <xf numFmtId="0" fontId="10" fillId="0" borderId="61" xfId="10" applyFont="1" applyFill="1" applyBorder="1" applyAlignment="1">
      <alignment vertical="top"/>
    </xf>
    <xf numFmtId="2" fontId="11" fillId="13" borderId="23" xfId="10" applyNumberFormat="1" applyFont="1" applyFill="1" applyBorder="1" applyAlignment="1">
      <alignment horizontal="left" vertical="top"/>
    </xf>
    <xf numFmtId="0" fontId="11" fillId="13" borderId="24" xfId="10" applyFont="1" applyFill="1" applyBorder="1" applyAlignment="1">
      <alignment vertical="top"/>
    </xf>
    <xf numFmtId="188" fontId="10" fillId="0" borderId="65" xfId="11" applyNumberFormat="1" applyFont="1" applyFill="1" applyBorder="1" applyAlignment="1">
      <alignment horizontal="right" vertical="top"/>
    </xf>
    <xf numFmtId="0" fontId="11" fillId="13" borderId="29" xfId="10" applyFont="1" applyFill="1" applyBorder="1" applyAlignment="1">
      <alignment vertical="top" wrapText="1"/>
    </xf>
    <xf numFmtId="188" fontId="10" fillId="0" borderId="37" xfId="11" applyNumberFormat="1" applyFont="1" applyFill="1" applyBorder="1" applyAlignment="1">
      <alignment vertical="top"/>
    </xf>
    <xf numFmtId="0" fontId="10" fillId="0" borderId="67" xfId="10" applyFont="1" applyFill="1" applyBorder="1" applyAlignment="1">
      <alignment vertical="top"/>
    </xf>
    <xf numFmtId="188" fontId="10" fillId="0" borderId="40" xfId="11" applyNumberFormat="1" applyFont="1" applyFill="1" applyBorder="1" applyAlignment="1">
      <alignment vertical="top"/>
    </xf>
    <xf numFmtId="0" fontId="11" fillId="13" borderId="21" xfId="10" applyFont="1" applyFill="1" applyBorder="1" applyAlignment="1">
      <alignment vertical="top"/>
    </xf>
    <xf numFmtId="0" fontId="22" fillId="0" borderId="0" xfId="10" applyFont="1" applyFill="1" applyBorder="1"/>
    <xf numFmtId="0" fontId="63" fillId="0" borderId="0" xfId="10" applyFont="1" applyFill="1" applyBorder="1"/>
    <xf numFmtId="0" fontId="57" fillId="0" borderId="61" xfId="10" applyFont="1" applyFill="1" applyBorder="1" applyAlignment="1">
      <alignment vertical="top"/>
    </xf>
    <xf numFmtId="0" fontId="10" fillId="0" borderId="37" xfId="10" applyFont="1" applyFill="1" applyBorder="1" applyAlignment="1">
      <alignment horizontal="center" vertical="top"/>
    </xf>
    <xf numFmtId="189" fontId="11" fillId="0" borderId="36" xfId="10" applyNumberFormat="1" applyFont="1" applyFill="1" applyBorder="1" applyAlignment="1">
      <alignment horizontal="center" vertical="top"/>
    </xf>
    <xf numFmtId="0" fontId="10" fillId="0" borderId="41" xfId="10" applyFont="1" applyFill="1" applyBorder="1" applyAlignment="1">
      <alignment horizontal="center" vertical="top"/>
    </xf>
    <xf numFmtId="0" fontId="10" fillId="0" borderId="68" xfId="10" applyFont="1" applyFill="1" applyBorder="1" applyAlignment="1">
      <alignment vertical="top"/>
    </xf>
    <xf numFmtId="188" fontId="10" fillId="0" borderId="43" xfId="11" applyNumberFormat="1" applyFont="1" applyFill="1" applyBorder="1" applyAlignment="1">
      <alignment vertical="top"/>
    </xf>
    <xf numFmtId="3" fontId="65" fillId="0" borderId="45" xfId="10" applyNumberFormat="1" applyFont="1" applyFill="1" applyBorder="1" applyAlignment="1">
      <alignment vertical="top"/>
    </xf>
    <xf numFmtId="0" fontId="11" fillId="14" borderId="34" xfId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center" vertical="top"/>
    </xf>
    <xf numFmtId="0" fontId="10" fillId="0" borderId="28" xfId="0" quotePrefix="1" applyFont="1" applyFill="1" applyBorder="1" applyAlignment="1">
      <alignment horizontal="left" wrapText="1"/>
    </xf>
    <xf numFmtId="43" fontId="10" fillId="0" borderId="0" xfId="0" applyNumberFormat="1" applyFont="1" applyFill="1" applyBorder="1" applyAlignment="1">
      <alignment vertical="top"/>
    </xf>
    <xf numFmtId="43" fontId="10" fillId="0" borderId="0" xfId="9" applyNumberFormat="1" applyFont="1" applyFill="1" applyBorder="1" applyAlignment="1">
      <alignment vertical="top"/>
    </xf>
    <xf numFmtId="0" fontId="66" fillId="0" borderId="0" xfId="5" applyFont="1" applyFill="1" applyBorder="1"/>
    <xf numFmtId="0" fontId="67" fillId="0" borderId="0" xfId="5" applyFont="1" applyFill="1" applyBorder="1"/>
    <xf numFmtId="0" fontId="48" fillId="0" borderId="28" xfId="0" applyFont="1" applyFill="1" applyBorder="1" applyAlignment="1">
      <alignment horizontal="right"/>
    </xf>
    <xf numFmtId="188" fontId="48" fillId="0" borderId="28" xfId="2" applyNumberFormat="1" applyFont="1" applyBorder="1" applyAlignment="1">
      <alignment horizontal="center" vertical="top" wrapText="1"/>
    </xf>
    <xf numFmtId="0" fontId="48" fillId="0" borderId="28" xfId="3" applyFont="1" applyFill="1" applyBorder="1" applyAlignment="1">
      <alignment horizontal="center" vertical="top"/>
    </xf>
    <xf numFmtId="0" fontId="48" fillId="0" borderId="28" xfId="3" applyFont="1" applyFill="1" applyBorder="1" applyAlignment="1">
      <alignment horizontal="center" vertical="top" wrapText="1"/>
    </xf>
    <xf numFmtId="188" fontId="48" fillId="0" borderId="28" xfId="2" applyNumberFormat="1" applyFont="1" applyBorder="1" applyAlignment="1">
      <alignment horizontal="center" vertical="top"/>
    </xf>
    <xf numFmtId="0" fontId="48" fillId="0" borderId="28" xfId="3" applyFont="1" applyFill="1" applyBorder="1" applyAlignment="1">
      <alignment horizontal="center" vertical="center"/>
    </xf>
    <xf numFmtId="0" fontId="67" fillId="2" borderId="0" xfId="5" applyFont="1" applyFill="1" applyBorder="1"/>
    <xf numFmtId="0" fontId="10" fillId="2" borderId="5" xfId="0" applyFont="1" applyFill="1" applyBorder="1" applyAlignment="1">
      <alignment horizontal="left" vertical="top"/>
    </xf>
    <xf numFmtId="0" fontId="10" fillId="2" borderId="5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/>
    </xf>
    <xf numFmtId="0" fontId="66" fillId="0" borderId="0" xfId="0" applyFont="1" applyFill="1" applyBorder="1"/>
    <xf numFmtId="0" fontId="66" fillId="0" borderId="0" xfId="0" applyFont="1" applyFill="1" applyBorder="1" applyAlignment="1">
      <alignment horizontal="center"/>
    </xf>
    <xf numFmtId="0" fontId="66" fillId="0" borderId="0" xfId="0" applyFont="1" applyFill="1" applyBorder="1" applyAlignment="1">
      <alignment horizontal="right"/>
    </xf>
    <xf numFmtId="0" fontId="68" fillId="0" borderId="28" xfId="0" applyFont="1" applyFill="1" applyBorder="1" applyAlignment="1">
      <alignment horizontal="right" vertical="center"/>
    </xf>
    <xf numFmtId="0" fontId="68" fillId="0" borderId="28" xfId="21" applyFont="1" applyFill="1" applyBorder="1" applyAlignment="1">
      <alignment vertical="center"/>
    </xf>
    <xf numFmtId="0" fontId="68" fillId="0" borderId="28" xfId="23" applyFont="1" applyFill="1" applyBorder="1" applyAlignment="1">
      <alignment vertical="center"/>
    </xf>
    <xf numFmtId="0" fontId="68" fillId="2" borderId="28" xfId="0" applyFont="1" applyFill="1" applyBorder="1" applyAlignment="1">
      <alignment vertical="center"/>
    </xf>
    <xf numFmtId="0" fontId="68" fillId="0" borderId="28" xfId="22" applyFont="1" applyFill="1" applyBorder="1" applyAlignment="1">
      <alignment vertical="center"/>
    </xf>
    <xf numFmtId="0" fontId="68" fillId="0" borderId="28" xfId="24" applyFont="1" applyFill="1" applyBorder="1" applyAlignment="1">
      <alignment vertical="center"/>
    </xf>
    <xf numFmtId="0" fontId="66" fillId="0" borderId="0" xfId="3" applyFont="1" applyFill="1" applyBorder="1"/>
    <xf numFmtId="0" fontId="67" fillId="0" borderId="0" xfId="3" applyFont="1" applyFill="1" applyBorder="1"/>
    <xf numFmtId="0" fontId="48" fillId="0" borderId="28" xfId="0" applyFont="1" applyFill="1" applyBorder="1"/>
    <xf numFmtId="188" fontId="48" fillId="0" borderId="28" xfId="2" applyNumberFormat="1" applyFont="1" applyFill="1" applyBorder="1" applyAlignment="1">
      <alignment horizontal="center" vertical="top" wrapText="1"/>
    </xf>
    <xf numFmtId="188" fontId="48" fillId="0" borderId="28" xfId="2" applyNumberFormat="1" applyFont="1" applyFill="1" applyBorder="1" applyAlignment="1">
      <alignment horizontal="center" vertical="top"/>
    </xf>
    <xf numFmtId="0" fontId="67" fillId="0" borderId="0" xfId="0" applyFont="1" applyFill="1" applyBorder="1"/>
    <xf numFmtId="0" fontId="67" fillId="2" borderId="0" xfId="3" applyFont="1" applyFill="1" applyBorder="1"/>
    <xf numFmtId="3" fontId="67" fillId="0" borderId="0" xfId="3" applyNumberFormat="1" applyFont="1" applyFill="1" applyBorder="1"/>
    <xf numFmtId="0" fontId="67" fillId="0" borderId="0" xfId="3" applyFont="1" applyFill="1" applyBorder="1" applyAlignment="1">
      <alignment wrapText="1"/>
    </xf>
    <xf numFmtId="0" fontId="67" fillId="0" borderId="0" xfId="0" applyFont="1" applyFill="1" applyBorder="1" applyAlignment="1">
      <alignment horizontal="center" vertical="top"/>
    </xf>
    <xf numFmtId="188" fontId="67" fillId="0" borderId="0" xfId="9" applyNumberFormat="1" applyFont="1" applyFill="1" applyBorder="1" applyAlignment="1">
      <alignment vertical="top"/>
    </xf>
    <xf numFmtId="0" fontId="69" fillId="0" borderId="0" xfId="0" applyFont="1" applyFill="1" applyBorder="1"/>
    <xf numFmtId="0" fontId="70" fillId="0" borderId="0" xfId="3" applyFont="1" applyFill="1" applyBorder="1" applyAlignment="1">
      <alignment horizontal="left" vertical="top" wrapText="1"/>
    </xf>
    <xf numFmtId="0" fontId="67" fillId="0" borderId="0" xfId="3" applyFont="1" applyFill="1" applyBorder="1" applyAlignment="1">
      <alignment horizontal="center" vertical="top"/>
    </xf>
    <xf numFmtId="0" fontId="48" fillId="0" borderId="0" xfId="3" applyFont="1" applyFill="1" applyBorder="1" applyAlignment="1">
      <alignment horizontal="center" vertical="top"/>
    </xf>
    <xf numFmtId="188" fontId="48" fillId="0" borderId="0" xfId="2" applyNumberFormat="1" applyFont="1" applyFill="1" applyBorder="1" applyAlignment="1">
      <alignment horizontal="center" vertical="top" wrapText="1"/>
    </xf>
    <xf numFmtId="0" fontId="67" fillId="0" borderId="0" xfId="3" applyFont="1" applyFill="1" applyBorder="1" applyAlignment="1">
      <alignment horizontal="center" vertical="top" wrapText="1"/>
    </xf>
    <xf numFmtId="188" fontId="48" fillId="0" borderId="0" xfId="2" applyNumberFormat="1" applyFont="1" applyFill="1" applyBorder="1" applyAlignment="1">
      <alignment horizontal="center" vertical="top"/>
    </xf>
    <xf numFmtId="0" fontId="67" fillId="0" borderId="0" xfId="3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left" vertical="top" wrapText="1" indent="1"/>
    </xf>
    <xf numFmtId="0" fontId="14" fillId="0" borderId="5" xfId="0" applyNumberFormat="1" applyFont="1" applyFill="1" applyBorder="1" applyAlignment="1">
      <alignment vertical="top" wrapText="1"/>
    </xf>
    <xf numFmtId="0" fontId="11" fillId="0" borderId="78" xfId="1" applyFont="1" applyFill="1" applyBorder="1" applyAlignment="1">
      <alignment horizontal="center"/>
    </xf>
    <xf numFmtId="0" fontId="12" fillId="0" borderId="33" xfId="0" applyFont="1" applyFill="1" applyBorder="1" applyAlignment="1">
      <alignment vertical="center"/>
    </xf>
    <xf numFmtId="3" fontId="12" fillId="0" borderId="78" xfId="0" applyNumberFormat="1" applyFont="1" applyFill="1" applyBorder="1"/>
    <xf numFmtId="0" fontId="9" fillId="0" borderId="28" xfId="1" applyFont="1" applyFill="1" applyBorder="1" applyAlignment="1">
      <alignment horizontal="center"/>
    </xf>
    <xf numFmtId="4" fontId="9" fillId="0" borderId="28" xfId="1" applyNumberFormat="1" applyFont="1" applyFill="1" applyBorder="1" applyAlignment="1"/>
    <xf numFmtId="0" fontId="61" fillId="0" borderId="28" xfId="1" applyFont="1" applyFill="1" applyBorder="1" applyAlignment="1">
      <alignment horizontal="right"/>
    </xf>
    <xf numFmtId="0" fontId="11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vertical="top"/>
    </xf>
    <xf numFmtId="3" fontId="26" fillId="0" borderId="33" xfId="1" applyNumberFormat="1" applyFont="1" applyFill="1" applyBorder="1" applyAlignment="1">
      <alignment horizontal="center" vertical="center" wrapText="1"/>
    </xf>
    <xf numFmtId="3" fontId="26" fillId="0" borderId="2" xfId="1" applyNumberFormat="1" applyFont="1" applyFill="1" applyBorder="1" applyAlignment="1">
      <alignment horizontal="center" vertical="center" wrapText="1"/>
    </xf>
    <xf numFmtId="3" fontId="26" fillId="0" borderId="4" xfId="1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32" fillId="21" borderId="0" xfId="1" applyFont="1" applyFill="1" applyBorder="1" applyAlignment="1">
      <alignment horizontal="center" vertical="center"/>
    </xf>
    <xf numFmtId="0" fontId="9" fillId="21" borderId="18" xfId="0" applyFont="1" applyFill="1" applyBorder="1" applyAlignment="1">
      <alignment horizontal="center"/>
    </xf>
    <xf numFmtId="0" fontId="9" fillId="21" borderId="0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 wrapText="1"/>
    </xf>
    <xf numFmtId="0" fontId="9" fillId="4" borderId="0" xfId="0" applyFont="1" applyFill="1" applyBorder="1" applyAlignment="1">
      <alignment horizontal="center" wrapText="1"/>
    </xf>
    <xf numFmtId="0" fontId="9" fillId="4" borderId="19" xfId="0" applyFont="1" applyFill="1" applyBorder="1" applyAlignment="1">
      <alignment horizontal="center" wrapText="1"/>
    </xf>
    <xf numFmtId="0" fontId="9" fillId="4" borderId="32" xfId="0" applyFont="1" applyFill="1" applyBorder="1" applyAlignment="1">
      <alignment horizontal="center" wrapText="1"/>
    </xf>
    <xf numFmtId="0" fontId="9" fillId="4" borderId="26" xfId="0" applyFont="1" applyFill="1" applyBorder="1" applyAlignment="1">
      <alignment horizontal="center" wrapText="1"/>
    </xf>
    <xf numFmtId="0" fontId="9" fillId="4" borderId="27" xfId="0" applyFont="1" applyFill="1" applyBorder="1" applyAlignment="1">
      <alignment horizontal="center" wrapText="1"/>
    </xf>
    <xf numFmtId="0" fontId="32" fillId="4" borderId="23" xfId="0" applyFont="1" applyFill="1" applyBorder="1" applyAlignment="1">
      <alignment horizontal="center"/>
    </xf>
    <xf numFmtId="0" fontId="32" fillId="4" borderId="24" xfId="0" applyFont="1" applyFill="1" applyBorder="1" applyAlignment="1">
      <alignment horizontal="center"/>
    </xf>
    <xf numFmtId="0" fontId="32" fillId="4" borderId="25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49" fillId="4" borderId="29" xfId="0" applyFont="1" applyFill="1" applyBorder="1" applyAlignment="1">
      <alignment horizontal="center" vertical="top" wrapText="1"/>
    </xf>
    <xf numFmtId="0" fontId="49" fillId="4" borderId="30" xfId="0" applyFont="1" applyFill="1" applyBorder="1" applyAlignment="1">
      <alignment horizontal="center" vertical="top" wrapText="1"/>
    </xf>
    <xf numFmtId="0" fontId="49" fillId="4" borderId="31" xfId="0" applyFont="1" applyFill="1" applyBorder="1" applyAlignment="1">
      <alignment horizontal="center" vertical="top" wrapText="1"/>
    </xf>
    <xf numFmtId="0" fontId="49" fillId="4" borderId="29" xfId="0" applyFont="1" applyFill="1" applyBorder="1" applyAlignment="1">
      <alignment horizontal="center" vertical="center" wrapText="1"/>
    </xf>
    <xf numFmtId="0" fontId="49" fillId="4" borderId="30" xfId="0" applyFont="1" applyFill="1" applyBorder="1" applyAlignment="1">
      <alignment horizontal="center" vertical="center" wrapText="1"/>
    </xf>
    <xf numFmtId="0" fontId="49" fillId="4" borderId="31" xfId="0" applyFont="1" applyFill="1" applyBorder="1" applyAlignment="1">
      <alignment horizontal="center" vertical="center" wrapText="1"/>
    </xf>
    <xf numFmtId="0" fontId="11" fillId="22" borderId="2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49" fontId="16" fillId="0" borderId="0" xfId="0" applyNumberFormat="1" applyFont="1" applyFill="1" applyBorder="1" applyAlignment="1">
      <alignment horizontal="left" vertical="center"/>
    </xf>
    <xf numFmtId="49" fontId="16" fillId="0" borderId="19" xfId="0" applyNumberFormat="1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center" vertical="center" wrapText="1"/>
    </xf>
    <xf numFmtId="49" fontId="16" fillId="0" borderId="20" xfId="0" applyNumberFormat="1" applyFont="1" applyFill="1" applyBorder="1" applyAlignment="1">
      <alignment horizontal="center" vertical="center" wrapText="1"/>
    </xf>
    <xf numFmtId="49" fontId="16" fillId="0" borderId="21" xfId="0" applyNumberFormat="1" applyFont="1" applyFill="1" applyBorder="1" applyAlignment="1">
      <alignment horizontal="center" vertical="center" wrapText="1"/>
    </xf>
    <xf numFmtId="49" fontId="16" fillId="0" borderId="22" xfId="0" applyNumberFormat="1" applyFont="1" applyFill="1" applyBorder="1" applyAlignment="1">
      <alignment horizontal="center" vertical="center" wrapText="1"/>
    </xf>
    <xf numFmtId="49" fontId="16" fillId="0" borderId="24" xfId="0" applyNumberFormat="1" applyFont="1" applyFill="1" applyBorder="1" applyAlignment="1">
      <alignment horizontal="left" vertical="center" wrapText="1"/>
    </xf>
    <xf numFmtId="49" fontId="16" fillId="0" borderId="25" xfId="0" applyNumberFormat="1" applyFont="1" applyFill="1" applyBorder="1" applyAlignment="1">
      <alignment horizontal="left" vertical="center" wrapText="1"/>
    </xf>
    <xf numFmtId="49" fontId="16" fillId="0" borderId="0" xfId="0" applyNumberFormat="1" applyFont="1" applyFill="1" applyBorder="1" applyAlignment="1">
      <alignment horizontal="left" vertical="center" wrapText="1"/>
    </xf>
    <xf numFmtId="49" fontId="16" fillId="0" borderId="19" xfId="0" applyNumberFormat="1" applyFont="1" applyFill="1" applyBorder="1" applyAlignment="1">
      <alignment horizontal="left" vertical="center" wrapText="1"/>
    </xf>
    <xf numFmtId="49" fontId="16" fillId="0" borderId="24" xfId="0" applyNumberFormat="1" applyFont="1" applyFill="1" applyBorder="1" applyAlignment="1">
      <alignment horizontal="left" vertical="center"/>
    </xf>
    <xf numFmtId="49" fontId="16" fillId="0" borderId="25" xfId="0" applyNumberFormat="1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 vertical="top"/>
    </xf>
    <xf numFmtId="0" fontId="35" fillId="9" borderId="23" xfId="5" applyFont="1" applyFill="1" applyBorder="1" applyAlignment="1">
      <alignment horizontal="left" vertical="top"/>
    </xf>
    <xf numFmtId="0" fontId="35" fillId="9" borderId="25" xfId="5" applyFont="1" applyFill="1" applyBorder="1" applyAlignment="1">
      <alignment horizontal="left" vertical="top"/>
    </xf>
    <xf numFmtId="0" fontId="35" fillId="0" borderId="23" xfId="3" applyFont="1" applyFill="1" applyBorder="1" applyAlignment="1">
      <alignment horizontal="right" vertical="top" wrapText="1"/>
    </xf>
    <xf numFmtId="0" fontId="35" fillId="0" borderId="24" xfId="3" applyFont="1" applyFill="1" applyBorder="1" applyAlignment="1">
      <alignment horizontal="right" vertical="top" wrapText="1"/>
    </xf>
    <xf numFmtId="0" fontId="44" fillId="0" borderId="32" xfId="3" applyFont="1" applyFill="1" applyBorder="1" applyAlignment="1">
      <alignment horizontal="right" vertical="top" wrapText="1"/>
    </xf>
    <xf numFmtId="0" fontId="44" fillId="0" borderId="26" xfId="3" applyFont="1" applyFill="1" applyBorder="1" applyAlignment="1">
      <alignment horizontal="right" vertical="top" wrapText="1"/>
    </xf>
    <xf numFmtId="0" fontId="33" fillId="0" borderId="0" xfId="5" applyFont="1" applyFill="1" applyBorder="1" applyAlignment="1">
      <alignment horizontal="center" vertical="top"/>
    </xf>
    <xf numFmtId="0" fontId="35" fillId="5" borderId="23" xfId="5" applyFont="1" applyFill="1" applyBorder="1" applyAlignment="1">
      <alignment horizontal="left" vertical="top"/>
    </xf>
    <xf numFmtId="0" fontId="35" fillId="5" borderId="17" xfId="5" applyFont="1" applyFill="1" applyBorder="1" applyAlignment="1">
      <alignment horizontal="left" vertical="top"/>
    </xf>
    <xf numFmtId="0" fontId="35" fillId="5" borderId="25" xfId="5" applyFont="1" applyFill="1" applyBorder="1" applyAlignment="1">
      <alignment horizontal="left" vertical="top"/>
    </xf>
    <xf numFmtId="0" fontId="35" fillId="7" borderId="20" xfId="5" applyFont="1" applyFill="1" applyBorder="1" applyAlignment="1">
      <alignment horizontal="left" vertical="top"/>
    </xf>
    <xf numFmtId="0" fontId="35" fillId="7" borderId="21" xfId="5" applyFont="1" applyFill="1" applyBorder="1" applyAlignment="1">
      <alignment horizontal="left" vertical="top"/>
    </xf>
    <xf numFmtId="0" fontId="35" fillId="9" borderId="21" xfId="5" applyFont="1" applyFill="1" applyBorder="1" applyAlignment="1">
      <alignment horizontal="left" vertical="top" wrapText="1"/>
    </xf>
    <xf numFmtId="0" fontId="35" fillId="9" borderId="22" xfId="5" applyFont="1" applyFill="1" applyBorder="1" applyAlignment="1">
      <alignment horizontal="left" vertical="top" wrapText="1"/>
    </xf>
    <xf numFmtId="0" fontId="35" fillId="9" borderId="23" xfId="5" applyFont="1" applyFill="1" applyBorder="1" applyAlignment="1">
      <alignment horizontal="left" vertical="top" wrapText="1"/>
    </xf>
    <xf numFmtId="0" fontId="35" fillId="9" borderId="25" xfId="5" applyFont="1" applyFill="1" applyBorder="1" applyAlignment="1">
      <alignment horizontal="left" vertical="top" wrapText="1"/>
    </xf>
    <xf numFmtId="0" fontId="35" fillId="9" borderId="32" xfId="5" applyFont="1" applyFill="1" applyBorder="1" applyAlignment="1">
      <alignment horizontal="left" vertical="top" wrapText="1"/>
    </xf>
    <xf numFmtId="0" fontId="35" fillId="9" borderId="27" xfId="5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center" vertical="center"/>
    </xf>
    <xf numFmtId="0" fontId="11" fillId="13" borderId="24" xfId="10" applyFont="1" applyFill="1" applyBorder="1" applyAlignment="1">
      <alignment horizontal="left" vertical="top" wrapText="1"/>
    </xf>
    <xf numFmtId="0" fontId="11" fillId="13" borderId="26" xfId="10" applyFont="1" applyFill="1" applyBorder="1" applyAlignment="1">
      <alignment horizontal="left" vertical="top" wrapText="1"/>
    </xf>
    <xf numFmtId="0" fontId="11" fillId="13" borderId="0" xfId="10" applyFont="1" applyFill="1" applyBorder="1" applyAlignment="1">
      <alignment horizontal="left" vertical="top" wrapText="1"/>
    </xf>
    <xf numFmtId="0" fontId="11" fillId="0" borderId="44" xfId="10" applyFont="1" applyFill="1" applyBorder="1" applyAlignment="1">
      <alignment horizontal="right" vertical="top" wrapText="1"/>
    </xf>
    <xf numFmtId="0" fontId="11" fillId="0" borderId="39" xfId="10" applyFont="1" applyFill="1" applyBorder="1" applyAlignment="1">
      <alignment horizontal="right" vertical="top" wrapText="1"/>
    </xf>
    <xf numFmtId="0" fontId="11" fillId="15" borderId="62" xfId="10" applyFont="1" applyFill="1" applyBorder="1" applyAlignment="1">
      <alignment horizontal="left" vertical="top"/>
    </xf>
    <xf numFmtId="0" fontId="11" fillId="15" borderId="35" xfId="10" applyFont="1" applyFill="1" applyBorder="1" applyAlignment="1">
      <alignment horizontal="left" vertical="top"/>
    </xf>
    <xf numFmtId="0" fontId="11" fillId="15" borderId="60" xfId="10" applyFont="1" applyFill="1" applyBorder="1" applyAlignment="1">
      <alignment horizontal="left" vertical="top"/>
    </xf>
    <xf numFmtId="0" fontId="11" fillId="15" borderId="18" xfId="10" applyFont="1" applyFill="1" applyBorder="1" applyAlignment="1">
      <alignment horizontal="left" vertical="top"/>
    </xf>
    <xf numFmtId="0" fontId="11" fillId="15" borderId="46" xfId="10" applyFont="1" applyFill="1" applyBorder="1" applyAlignment="1">
      <alignment horizontal="left" vertical="top"/>
    </xf>
    <xf numFmtId="0" fontId="44" fillId="0" borderId="18" xfId="3" applyFont="1" applyFill="1" applyBorder="1" applyAlignment="1">
      <alignment horizontal="right" vertical="top" wrapText="1"/>
    </xf>
    <xf numFmtId="0" fontId="44" fillId="0" borderId="0" xfId="3" applyFont="1" applyFill="1" applyBorder="1" applyAlignment="1">
      <alignment horizontal="right" vertical="top" wrapText="1"/>
    </xf>
    <xf numFmtId="0" fontId="32" fillId="0" borderId="23" xfId="1" applyFont="1" applyFill="1" applyBorder="1" applyAlignment="1">
      <alignment horizontal="center" vertical="center"/>
    </xf>
    <xf numFmtId="0" fontId="32" fillId="0" borderId="24" xfId="1" applyFont="1" applyFill="1" applyBorder="1" applyAlignment="1">
      <alignment horizontal="center" vertical="center"/>
    </xf>
    <xf numFmtId="0" fontId="32" fillId="0" borderId="25" xfId="1" applyFont="1" applyFill="1" applyBorder="1" applyAlignment="1">
      <alignment horizontal="center" vertical="center"/>
    </xf>
    <xf numFmtId="0" fontId="35" fillId="5" borderId="20" xfId="3" applyFont="1" applyFill="1" applyBorder="1" applyAlignment="1">
      <alignment horizontal="left" vertical="top"/>
    </xf>
    <xf numFmtId="0" fontId="35" fillId="5" borderId="21" xfId="3" applyFont="1" applyFill="1" applyBorder="1" applyAlignment="1">
      <alignment horizontal="left" vertical="top"/>
    </xf>
    <xf numFmtId="0" fontId="35" fillId="5" borderId="22" xfId="3" applyFont="1" applyFill="1" applyBorder="1" applyAlignment="1">
      <alignment horizontal="left" vertical="top"/>
    </xf>
    <xf numFmtId="0" fontId="35" fillId="7" borderId="20" xfId="3" applyFont="1" applyFill="1" applyBorder="1" applyAlignment="1">
      <alignment horizontal="left" vertical="top"/>
    </xf>
    <xf numFmtId="0" fontId="35" fillId="7" borderId="21" xfId="3" applyFont="1" applyFill="1" applyBorder="1" applyAlignment="1">
      <alignment horizontal="left" vertical="top"/>
    </xf>
    <xf numFmtId="0" fontId="35" fillId="9" borderId="24" xfId="3" applyFont="1" applyFill="1" applyBorder="1" applyAlignment="1">
      <alignment horizontal="left" vertical="top"/>
    </xf>
    <xf numFmtId="0" fontId="35" fillId="9" borderId="25" xfId="3" applyFont="1" applyFill="1" applyBorder="1" applyAlignment="1">
      <alignment horizontal="left" vertical="top"/>
    </xf>
    <xf numFmtId="0" fontId="35" fillId="9" borderId="23" xfId="3" applyFont="1" applyFill="1" applyBorder="1" applyAlignment="1">
      <alignment horizontal="left" vertical="top" wrapText="1"/>
    </xf>
    <xf numFmtId="0" fontId="35" fillId="9" borderId="25" xfId="3" applyFont="1" applyFill="1" applyBorder="1" applyAlignment="1">
      <alignment horizontal="left" vertical="top" wrapText="1"/>
    </xf>
    <xf numFmtId="0" fontId="35" fillId="9" borderId="32" xfId="3" applyFont="1" applyFill="1" applyBorder="1" applyAlignment="1">
      <alignment horizontal="left" vertical="top" wrapText="1"/>
    </xf>
    <xf numFmtId="0" fontId="35" fillId="9" borderId="27" xfId="3" applyFont="1" applyFill="1" applyBorder="1" applyAlignment="1">
      <alignment horizontal="left" vertical="top" wrapText="1"/>
    </xf>
    <xf numFmtId="0" fontId="35" fillId="9" borderId="20" xfId="3" applyFont="1" applyFill="1" applyBorder="1" applyAlignment="1">
      <alignment horizontal="left" vertical="top" wrapText="1"/>
    </xf>
    <xf numFmtId="0" fontId="35" fillId="9" borderId="22" xfId="3" applyFont="1" applyFill="1" applyBorder="1" applyAlignment="1">
      <alignment horizontal="left" vertical="top" wrapText="1"/>
    </xf>
    <xf numFmtId="0" fontId="35" fillId="9" borderId="20" xfId="3" applyFont="1" applyFill="1" applyBorder="1" applyAlignment="1">
      <alignment horizontal="center" vertical="top" wrapText="1"/>
    </xf>
    <xf numFmtId="0" fontId="35" fillId="9" borderId="22" xfId="3" applyFont="1" applyFill="1" applyBorder="1" applyAlignment="1">
      <alignment horizontal="center" vertical="top" wrapText="1"/>
    </xf>
    <xf numFmtId="0" fontId="35" fillId="2" borderId="18" xfId="3" applyFont="1" applyFill="1" applyBorder="1" applyAlignment="1">
      <alignment horizontal="left" vertical="top" wrapText="1"/>
    </xf>
    <xf numFmtId="0" fontId="35" fillId="2" borderId="19" xfId="3" applyFont="1" applyFill="1" applyBorder="1" applyAlignment="1">
      <alignment horizontal="left" vertical="top" wrapText="1"/>
    </xf>
    <xf numFmtId="0" fontId="35" fillId="0" borderId="32" xfId="3" applyFont="1" applyFill="1" applyBorder="1" applyAlignment="1">
      <alignment horizontal="left" vertical="top" wrapText="1"/>
    </xf>
    <xf numFmtId="0" fontId="35" fillId="0" borderId="27" xfId="3" applyFont="1" applyFill="1" applyBorder="1" applyAlignment="1">
      <alignment horizontal="left" vertical="top" wrapText="1"/>
    </xf>
    <xf numFmtId="0" fontId="35" fillId="2" borderId="32" xfId="3" applyFont="1" applyFill="1" applyBorder="1" applyAlignment="1">
      <alignment horizontal="left" vertical="top" wrapText="1"/>
    </xf>
    <xf numFmtId="0" fontId="35" fillId="2" borderId="27" xfId="3" applyFont="1" applyFill="1" applyBorder="1" applyAlignment="1">
      <alignment horizontal="left" vertical="top" wrapText="1"/>
    </xf>
    <xf numFmtId="0" fontId="35" fillId="9" borderId="23" xfId="3" applyFont="1" applyFill="1" applyBorder="1" applyAlignment="1">
      <alignment horizontal="left" vertical="top"/>
    </xf>
    <xf numFmtId="0" fontId="35" fillId="9" borderId="20" xfId="3" applyFont="1" applyFill="1" applyBorder="1" applyAlignment="1">
      <alignment horizontal="left" vertical="top"/>
    </xf>
    <xf numFmtId="0" fontId="35" fillId="9" borderId="22" xfId="3" applyFont="1" applyFill="1" applyBorder="1" applyAlignment="1">
      <alignment horizontal="left" vertical="top"/>
    </xf>
    <xf numFmtId="0" fontId="35" fillId="0" borderId="18" xfId="3" applyFont="1" applyFill="1" applyBorder="1" applyAlignment="1">
      <alignment horizontal="left" vertical="top" wrapText="1"/>
    </xf>
    <xf numFmtId="0" fontId="35" fillId="0" borderId="19" xfId="3" applyFont="1" applyFill="1" applyBorder="1" applyAlignment="1">
      <alignment horizontal="left" vertical="top" wrapText="1"/>
    </xf>
    <xf numFmtId="0" fontId="35" fillId="0" borderId="0" xfId="3" applyFont="1" applyFill="1" applyBorder="1" applyAlignment="1">
      <alignment horizontal="left" vertical="top" wrapText="1"/>
    </xf>
    <xf numFmtId="0" fontId="33" fillId="0" borderId="0" xfId="3" applyFont="1" applyFill="1" applyBorder="1" applyAlignment="1">
      <alignment horizontal="center" vertical="top"/>
    </xf>
    <xf numFmtId="0" fontId="35" fillId="5" borderId="23" xfId="3" applyFont="1" applyFill="1" applyBorder="1" applyAlignment="1">
      <alignment horizontal="left" vertical="top"/>
    </xf>
    <xf numFmtId="0" fontId="35" fillId="5" borderId="24" xfId="3" applyFont="1" applyFill="1" applyBorder="1" applyAlignment="1">
      <alignment horizontal="left" vertical="top"/>
    </xf>
    <xf numFmtId="0" fontId="35" fillId="5" borderId="25" xfId="3" applyFont="1" applyFill="1" applyBorder="1" applyAlignment="1">
      <alignment horizontal="left" vertical="top"/>
    </xf>
    <xf numFmtId="0" fontId="35" fillId="0" borderId="23" xfId="3" applyFont="1" applyFill="1" applyBorder="1" applyAlignment="1">
      <alignment horizontal="left" vertical="top" wrapText="1"/>
    </xf>
    <xf numFmtId="0" fontId="35" fillId="0" borderId="25" xfId="3" applyFont="1" applyFill="1" applyBorder="1" applyAlignment="1">
      <alignment horizontal="left" vertical="top" wrapText="1"/>
    </xf>
    <xf numFmtId="0" fontId="41" fillId="9" borderId="20" xfId="3" applyFont="1" applyFill="1" applyBorder="1" applyAlignment="1">
      <alignment horizontal="left" vertical="top" wrapText="1"/>
    </xf>
    <xf numFmtId="0" fontId="41" fillId="9" borderId="22" xfId="3" applyFont="1" applyFill="1" applyBorder="1" applyAlignment="1">
      <alignment horizontal="left" vertical="top" wrapText="1"/>
    </xf>
    <xf numFmtId="0" fontId="35" fillId="9" borderId="21" xfId="3" applyFont="1" applyFill="1" applyBorder="1" applyAlignment="1">
      <alignment horizontal="left" wrapText="1"/>
    </xf>
    <xf numFmtId="0" fontId="35" fillId="9" borderId="22" xfId="3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center" vertical="center"/>
    </xf>
  </cellXfs>
  <cellStyles count="25">
    <cellStyle name="Comma 13" xfId="11"/>
    <cellStyle name="Normal 11" xfId="10"/>
    <cellStyle name="Normal 12" xfId="23"/>
    <cellStyle name="Normal 13" xfId="24"/>
    <cellStyle name="Normal 14" xfId="21"/>
    <cellStyle name="Normal 15" xfId="22"/>
    <cellStyle name="Normal 16" xfId="15"/>
    <cellStyle name="Normal 2 13" xfId="14"/>
    <cellStyle name="Normal 2 31" xfId="12"/>
    <cellStyle name="Normal 25" xfId="17"/>
    <cellStyle name="Normal 32" xfId="19"/>
    <cellStyle name="Normal 4" xfId="16"/>
    <cellStyle name="Normal 5" xfId="18"/>
    <cellStyle name="Normal 9" xfId="13"/>
    <cellStyle name="เครื่องหมายจุลภาค" xfId="9" builtinId="3"/>
    <cellStyle name="เครื่องหมายจุลภาค 2" xfId="2"/>
    <cellStyle name="ปกติ" xfId="0" builtinId="0"/>
    <cellStyle name="ปกติ 2" xfId="1"/>
    <cellStyle name="ปกติ 2 2" xfId="7"/>
    <cellStyle name="ปกติ 3" xfId="3"/>
    <cellStyle name="ปกติ 3 2" xfId="5"/>
    <cellStyle name="ปกติ 3 3" xfId="8"/>
    <cellStyle name="ปกติ 4" xfId="20"/>
    <cellStyle name="เปอร์เซ็นต์ 2" xfId="4"/>
    <cellStyle name="เปอร์เซ็นต์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3588;&#3635;&#3586;&#3629;&#3591;&#3610;&#3611;&#3619;&#3632;&#3617;&#3634;&#3603;%2061/&#3652;&#3615;&#3621;&#3660;&#3626;&#3656;&#3591;&#3651;&#3627;&#3657;&#3614;&#3637;&#3656;&#3629;&#3659;&#3629;-&#3614;&#3637;&#3656;&#3592;&#3629;&#3617;/&#3626;&#3619;&#3640;&#3611;&#3588;&#3656;&#3634;&#3651;&#3594;&#3657;&#3592;&#3656;&#3634;&#3618;%20rev2%20&#3605;&#3633;&#3623;&#3629;&#3618;&#3656;&#3634;&#3591;&#3592;&#3634;&#3585;&#3614;&#3637;&#3656;%20HIPP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5;&#3634;&#3619;&#3592;&#3633;&#3604;&#3607;&#3635;&#3588;&#3635;&#3586;&#3629;&#3591;&#3610;&#3611;&#3619;&#3632;&#3617;&#3634;&#3603;&#3611;&#3637;%2061/&#3605;&#3633;&#3604;&#3591;&#3610;%2019%20&#3617;.&#3588;.60/&#3626;&#3611;&#3616;/&#3649;&#3585;&#3657;&#3652;&#3586;%2017%20&#3585;&#3614;%2060/safety%20&#3605;&#3634;&#3619;&#3634;&#3591;&#3626;&#3619;&#3640;&#361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hp.diw.go.th/policy/wp-content/uploads/2017/01/&#3626;&#3619;&#3640;&#3611;&#3588;&#3656;&#3634;&#3651;&#3594;&#3657;&#3592;&#3656;&#3634;&#3618;%20rev2%20&#3605;&#3633;&#3623;&#3629;&#3618;&#3656;&#3634;&#3591;&#3592;&#3634;&#3585;&#3614;&#3637;&#3656;%20HIP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ฝึกอบรม 21 "/>
      <sheetName val=" ยกระดับ 18"/>
      <sheetName val=" เร่งรัดการจดทะเบียน 15"/>
      <sheetName val="ศูนย์ข้อมูล 10"/>
      <sheetName val=" ขึ้นทะเบียน 10 "/>
      <sheetName val="2.1 ฝึกอบรม"/>
      <sheetName val="2.1 ยกระดับ"/>
      <sheetName val="4.1 เร่งรัดการจดทะเบียน"/>
      <sheetName val="4.1 ศูนย์ข้อมูล"/>
      <sheetName val="4.2 ขึ้นทะเบียน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B1" t="str">
            <v>บุคลากร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fety thailand ok"/>
      <sheetName val="ตารางสรุป"/>
      <sheetName val="แบบ ก9"/>
      <sheetName val="man day"/>
    </sheetNames>
    <sheetDataSet>
      <sheetData sheetId="0" refreshError="1">
        <row r="2">
          <cell r="A2" t="str">
            <v xml:space="preserve">โครงการความปลอดภัยและอาชีวอนามัยของประเทศไทย (Safety Thailand) ภาคอุตสาหกรรม </v>
          </cell>
        </row>
        <row r="6">
          <cell r="B6" t="str">
            <v>บุคลากร</v>
          </cell>
        </row>
        <row r="8">
          <cell r="G8">
            <v>225000</v>
          </cell>
        </row>
        <row r="9">
          <cell r="G9">
            <v>210000</v>
          </cell>
        </row>
        <row r="10">
          <cell r="G10">
            <v>195000</v>
          </cell>
        </row>
        <row r="11">
          <cell r="G11">
            <v>195000</v>
          </cell>
        </row>
        <row r="12">
          <cell r="G12">
            <v>180000</v>
          </cell>
        </row>
        <row r="16">
          <cell r="G16">
            <v>2688000</v>
          </cell>
        </row>
        <row r="18">
          <cell r="G18">
            <v>1344000</v>
          </cell>
        </row>
        <row r="23">
          <cell r="B23" t="str">
            <v>ค่าสถานที่และโสตทัศนูปกรณ์</v>
          </cell>
          <cell r="G23">
            <v>10000</v>
          </cell>
        </row>
        <row r="24">
          <cell r="B24" t="str">
            <v>ค่าอาหารผู้เข้าร่วมประชุม (อาหารเที่ยง) (200 คน x 1 ครั้ง)</v>
          </cell>
          <cell r="G24">
            <v>120000</v>
          </cell>
        </row>
        <row r="25">
          <cell r="B25" t="str">
            <v>ค่าเช่ารถตู้ รวมน้ำมัน (2 วัน  x 1 ครั้ง)</v>
          </cell>
          <cell r="G25">
            <v>4500</v>
          </cell>
        </row>
        <row r="26">
          <cell r="B26" t="str">
            <v>ค่าวิทยากร (7 ชม. x 1 ครั้ง)</v>
          </cell>
          <cell r="G26">
            <v>8400</v>
          </cell>
        </row>
        <row r="27">
          <cell r="B27" t="str">
            <v>ค่าเบี้ยเลี้ยงเจ้าหน้าที่เตรียมการ (3 คน x 2 วัน  x 1 ครั้ง)</v>
          </cell>
          <cell r="G27">
            <v>1440</v>
          </cell>
        </row>
        <row r="28">
          <cell r="B28" t="str">
            <v>ค่าที่พักเจ้าหน้าที่เตรียมการ (3 คน x  1 คืน  x 1 ครั้ง)</v>
          </cell>
          <cell r="G28">
            <v>2250</v>
          </cell>
        </row>
        <row r="29">
          <cell r="B29" t="str">
            <v>ค่าเอกสารประกอบการประชุม (200 คน x 1 ชุด  x 1 ครั้ง)</v>
          </cell>
          <cell r="G29">
            <v>30000</v>
          </cell>
        </row>
        <row r="30">
          <cell r="B30" t="str">
            <v xml:space="preserve">ค่าใช้จ่ายเบ็ดเตล็ดอื่นๆ เช่น ค่าติดต่อประสานงาน   </v>
          </cell>
          <cell r="G30">
            <v>1000</v>
          </cell>
        </row>
        <row r="35">
          <cell r="B35" t="str">
            <v>ค่าสถานที่และโสตทัศนูปกรณ์</v>
          </cell>
          <cell r="G35">
            <v>40000</v>
          </cell>
        </row>
        <row r="36">
          <cell r="B36" t="str">
            <v>ค่าอาหารผู้เข้าร่วมอบรม (อาหารเที่ยง) (20 คน x 3 วัน  x 4 ครั้ง)</v>
          </cell>
          <cell r="G36">
            <v>144000</v>
          </cell>
        </row>
        <row r="37">
          <cell r="B37" t="str">
            <v>ค่าเช่ารถตู้ รวมน้ำมัน (4 วัน x 4 ครั้ง)</v>
          </cell>
          <cell r="G37">
            <v>36000</v>
          </cell>
        </row>
        <row r="38">
          <cell r="B38" t="str">
            <v>ค่าวิทยากร (7 ชม. X 3 วัน x 4 ครั้ง)</v>
          </cell>
          <cell r="G38">
            <v>100800</v>
          </cell>
        </row>
        <row r="39">
          <cell r="B39" t="str">
            <v>ค่าเบี้ยเลี้ยงเจ้าหน้าที่เตรียมการ (3 คน x 4 วัน x 4 ครั้ง)</v>
          </cell>
          <cell r="G39">
            <v>11520</v>
          </cell>
        </row>
        <row r="40">
          <cell r="B40" t="str">
            <v>ค่าที่พักเจ้าหน้าที่เตรียมการ (3 คน x  3 คืน x 4 ครั้ง)</v>
          </cell>
          <cell r="G40">
            <v>27000</v>
          </cell>
        </row>
        <row r="41">
          <cell r="B41" t="str">
            <v>ค่าที่พักผู้เข้าร่วมอบรม (20 คน x  2 คืน x 4 ครั้ง)</v>
          </cell>
          <cell r="G41">
            <v>120000</v>
          </cell>
        </row>
        <row r="42">
          <cell r="B42" t="str">
            <v>ค่าเอกสารประกอบการอบรม (20 คน x 1 ชุด x 4 ครั้ง)</v>
          </cell>
          <cell r="G42">
            <v>32000</v>
          </cell>
        </row>
        <row r="43">
          <cell r="B43" t="str">
            <v xml:space="preserve">ค่าใช้จ่ายเบ็ดเตล็ดอื่นๆ เช่น ค่าติดต่อประสานงาน </v>
          </cell>
          <cell r="G43">
            <v>3200</v>
          </cell>
        </row>
        <row r="47">
          <cell r="B47" t="str">
            <v>ค่าสถานที่และโสตทัศนูปกรณ์</v>
          </cell>
          <cell r="G47">
            <v>15000</v>
          </cell>
        </row>
        <row r="48">
          <cell r="B48" t="str">
            <v>ค่าอาหารผู้เข้าร่วมประชุม (อาหารเที่ยง) (80 โรงงาน x 2 คน)</v>
          </cell>
          <cell r="G48">
            <v>96000</v>
          </cell>
        </row>
        <row r="49">
          <cell r="B49" t="str">
            <v>ค่าเช่ารถตู้ รวมน้ำมัน (2 วัน)</v>
          </cell>
          <cell r="G49">
            <v>4500</v>
          </cell>
        </row>
        <row r="50">
          <cell r="B50" t="str">
            <v>ค่าวิทยากร (7 ชม.)</v>
          </cell>
          <cell r="G50">
            <v>8400</v>
          </cell>
        </row>
        <row r="51">
          <cell r="B51" t="str">
            <v>ค่าเบี้ยเลี้ยงเจ้าหน้าที่เตรียมการ (3 คน x 2 วัน)</v>
          </cell>
          <cell r="G51">
            <v>1440</v>
          </cell>
        </row>
        <row r="52">
          <cell r="B52" t="str">
            <v>ค่าที่พักเจ้าหน้าที่เตรียมการ (3 คน x  1 คืน)</v>
          </cell>
          <cell r="G52">
            <v>2250</v>
          </cell>
        </row>
        <row r="53">
          <cell r="B53" t="str">
            <v>ค่าเอกสารประกอบการประชุม (160 คน x 1 ชุด)</v>
          </cell>
          <cell r="G53">
            <v>24000</v>
          </cell>
        </row>
        <row r="54">
          <cell r="B54" t="str">
            <v xml:space="preserve">ค่าใช้จ่ายเบ็ดเตล็ดอื่นๆ เช่น ค่าติดต่อประสานงาน </v>
          </cell>
          <cell r="G54">
            <v>1145</v>
          </cell>
        </row>
        <row r="59">
          <cell r="B59" t="str">
            <v>ค่าเช่ารถตู้ รวมน้ำมัน (80 โรงงาน x 2 วัน x 2 ครั้ง)</v>
          </cell>
          <cell r="G59">
            <v>720000</v>
          </cell>
        </row>
        <row r="60">
          <cell r="B60" t="str">
            <v>ค่าเครื่องบินวิทยากร (15 โรงงาน X 2 คน  x 2 ครั้ง)</v>
          </cell>
          <cell r="G60">
            <v>300000</v>
          </cell>
        </row>
        <row r="61">
          <cell r="B61" t="str">
            <v>ค่าที่พักวิทยากร (80 โรงงาน  x  2 คน x 1 คืน  x 2 ครั้ง)</v>
          </cell>
          <cell r="G61">
            <v>240000</v>
          </cell>
        </row>
        <row r="62">
          <cell r="B62" t="str">
            <v>ค่าเอกสารประกอบการตรวจ (4 คน x 1 ชุด  x 2 ครั้ง)</v>
          </cell>
          <cell r="G62">
            <v>800</v>
          </cell>
        </row>
        <row r="63">
          <cell r="B63" t="str">
            <v>ค่าใช้จ่ายเบ็ดเตล็ดอื่นๆ เช่น ค่าติดต่อประสานงาน (80 โรงงาน x 2 ครั้ง)</v>
          </cell>
          <cell r="G63">
            <v>8000</v>
          </cell>
        </row>
        <row r="68">
          <cell r="B68" t="str">
            <v>ค่าเช่ารถตู้ รวมน้ำมัน (80 โรงงาน X 1 วัน  x 2 ครั้ง)</v>
          </cell>
          <cell r="G68">
            <v>360000</v>
          </cell>
        </row>
        <row r="69">
          <cell r="B69" t="str">
            <v>ค่าเครื่องบินวิทยากร (15 โรงงาน X 2 คน  x 2 ครั้ง)</v>
          </cell>
          <cell r="G69">
            <v>300000</v>
          </cell>
        </row>
        <row r="70">
          <cell r="B70" t="str">
            <v>ค่าเอกสารประกอบการตรวจ (4 คน x 1 ชุด  x 2 ครั้ง)</v>
          </cell>
          <cell r="G70">
            <v>800</v>
          </cell>
        </row>
        <row r="71">
          <cell r="B71" t="str">
            <v>ค่าใช้จ่ายเบ็ดเตล็ดอื่นๆ เช่น ค่าติดต่อประสานงาน (80 โรงงาน x 2 ครั้ง)</v>
          </cell>
          <cell r="G71">
            <v>8000</v>
          </cell>
        </row>
        <row r="73">
          <cell r="B73" t="str">
            <v>การเผยแพร่องค์ความรู้ให้แก่ผู้ประกอบการโดยผ่านสื่อต่างๆ เช่น เอกสารคู่มือ / ซีดีรอมข้อมูล / วีดิทัศน์ /แผ่นป้าย</v>
          </cell>
        </row>
        <row r="75">
          <cell r="B75" t="str">
            <v>จัดพิมพ์เอกสารหลักเกณฑ์/มาตรฐาน สำหรับผู้ประกอบการ</v>
          </cell>
          <cell r="G75">
            <v>90000</v>
          </cell>
        </row>
        <row r="76">
          <cell r="B76" t="str">
            <v>จัดพิมพ์เอกสารหลักเกณฑ์/มาตรฐาน สำหรับเจ้าหน้าที่ของรัฐ</v>
          </cell>
          <cell r="G76">
            <v>37500</v>
          </cell>
        </row>
        <row r="77">
          <cell r="B77" t="str">
            <v>จัดทำ CD รวบรวมข้อมูลหลักเกณฑ์/มาตรฐาน</v>
          </cell>
          <cell r="G77">
            <v>2260</v>
          </cell>
        </row>
        <row r="78">
          <cell r="B78" t="str">
            <v xml:space="preserve">จัดทำ CD องค์ความรู้ด้านมาตรฐานความปลอดภัยในรูปแบบ เช่น วีดิทัศน์ </v>
          </cell>
          <cell r="G78">
            <v>2260</v>
          </cell>
        </row>
        <row r="79">
          <cell r="B79" t="str">
            <v xml:space="preserve">ค่าแผ่นพับ ขนาด A4 พิมพ์ 4 สี 2 หน้าพับ 3 ตอน </v>
          </cell>
          <cell r="G79">
            <v>1065</v>
          </cell>
        </row>
        <row r="80">
          <cell r="B80" t="str">
            <v xml:space="preserve">โปสเตอร์ ขนาด A2 พิมพ์ 4 สี </v>
          </cell>
          <cell r="G80">
            <v>1370</v>
          </cell>
        </row>
        <row r="81">
          <cell r="B81" t="str">
            <v>แผ่นป้ายไวนิล ขนาดประมาณ 1.2x2.4 เมตร</v>
          </cell>
          <cell r="G81">
            <v>40000</v>
          </cell>
        </row>
        <row r="82">
          <cell r="B82" t="str">
            <v>จัดทำวีดีทัศน์สรุปผลการดำเนินงาน ความยาวไม่เกิน 5 นาที</v>
          </cell>
          <cell r="G82">
            <v>70000</v>
          </cell>
        </row>
        <row r="87">
          <cell r="B87" t="str">
            <v>ค่าสถานที่และโสตทัศนูปกรณ์</v>
          </cell>
          <cell r="G87">
            <v>50000</v>
          </cell>
        </row>
        <row r="88">
          <cell r="B88" t="str">
            <v>ค่าอาหารผู้เข้าร่วมประชุม (อาหารเที่ยง) (60 คน  x 5 ครั้ง)</v>
          </cell>
          <cell r="G88">
            <v>180000</v>
          </cell>
        </row>
        <row r="89">
          <cell r="B89" t="str">
            <v>ค่าเช่ารถตู้ รวมน้ำมัน (2 วัน  x 5 ครั้ง)</v>
          </cell>
          <cell r="G89">
            <v>22500</v>
          </cell>
        </row>
        <row r="90">
          <cell r="B90" t="str">
            <v>ค่าวิทยากร (7 ชม.  x 5 ครั้ง)</v>
          </cell>
          <cell r="G90">
            <v>42000</v>
          </cell>
        </row>
        <row r="91">
          <cell r="B91" t="str">
            <v>ค่าเบี้ยเลี้ยงเจ้าหน้าที่เตรียมการ (3 คน x 2 วัน  x 5 ครั้ง)</v>
          </cell>
          <cell r="G91">
            <v>7200</v>
          </cell>
        </row>
        <row r="92">
          <cell r="B92" t="str">
            <v>ค่าที่พักเจ้าหน้าที่เตรียมการ (3 คน x  1 คืน  x 5 ครั้ง)</v>
          </cell>
          <cell r="G92">
            <v>11250</v>
          </cell>
        </row>
        <row r="93">
          <cell r="B93" t="str">
            <v>ค่าเอกสารประกอบการอบรม (60 คน x 1 ชุด  x 5 ครั้ง)</v>
          </cell>
          <cell r="G93">
            <v>45000</v>
          </cell>
        </row>
        <row r="94">
          <cell r="B94" t="str">
            <v xml:space="preserve">ค่าใช้จ่ายเบ็ดเตล็ดอื่นๆ เช่น ค่าติดต่อประสานงาน </v>
          </cell>
          <cell r="G94">
            <v>5000</v>
          </cell>
        </row>
        <row r="95">
          <cell r="B95" t="str">
            <v>โล่รางวัลและประกาศเกียรติบัตรแก่โรงงานที่เข้าร่วมดำเนินการ</v>
          </cell>
          <cell r="G95">
            <v>80000</v>
          </cell>
        </row>
        <row r="97">
          <cell r="B97" t="str">
            <v>การจัดทำเอกสารรายงาน</v>
          </cell>
        </row>
        <row r="99">
          <cell r="B99" t="str">
            <v xml:space="preserve">รายงานรวบรวมผลการศึกษาแนวทาง/คู่มือความปลอดภัย </v>
          </cell>
          <cell r="G99">
            <v>15000</v>
          </cell>
        </row>
        <row r="100">
          <cell r="B100" t="str">
            <v>รายงานผลการดำเนินการของผู้ประกอบการ (80 โรงงาน )</v>
          </cell>
          <cell r="G100">
            <v>24000</v>
          </cell>
        </row>
        <row r="101">
          <cell r="B101" t="str">
            <v>แผนการดำเนินโครงการ 8 ฉบับ พร้อม CD-Rom 1 แผ่น</v>
          </cell>
          <cell r="G101">
            <v>2400</v>
          </cell>
        </row>
        <row r="102">
          <cell r="B102" t="str">
            <v>รายงานฉบับที่ 1 จำนวน 8 ฉบับ พร้อม CD-Rom 1 แผ่น</v>
          </cell>
          <cell r="G102">
            <v>2400</v>
          </cell>
        </row>
        <row r="103">
          <cell r="B103" t="str">
            <v>รายงานฉบับที่ 2 จำนวน 8 ฉบับ พร้อม CD-Rom 1 แผ่น</v>
          </cell>
          <cell r="G103">
            <v>2400</v>
          </cell>
        </row>
        <row r="104">
          <cell r="B104" t="str">
            <v>รายงานฉบับที่ 3 จำนวน 8 ฉบับ พร้อม CD-Rom 1 แผ่นพร้อม CD-Rom</v>
          </cell>
          <cell r="G104">
            <v>4000</v>
          </cell>
        </row>
        <row r="105">
          <cell r="B105" t="str">
            <v>รายงานฉบับสมบูรณ์ (Final Report)</v>
          </cell>
        </row>
        <row r="106">
          <cell r="B106" t="str">
            <v>1) รายงานฉบับสมบูรณ์ ภาษาไทย พร้อม CD-Rom</v>
          </cell>
          <cell r="G106">
            <v>6400</v>
          </cell>
        </row>
        <row r="107">
          <cell r="B107" t="str">
            <v>2) รายงานสรุปสำหรับผู้บริหาร ไทยและอังกฤษ</v>
          </cell>
          <cell r="G107">
            <v>6000</v>
          </cell>
        </row>
        <row r="115">
          <cell r="B115" t="str">
            <v>ค่าเช่ารถตู้ รวมน้ำมัน (30 โรงงาน x 2 วัน x 2 ครั้ง)</v>
          </cell>
          <cell r="G115">
            <v>270000</v>
          </cell>
        </row>
        <row r="116">
          <cell r="B116" t="str">
            <v>ค่าเบี้ยเลี้ยงเจ้าหน้าที่ (30 โรงงาน X 2 วัน X 2 คน x 2 ครั้ง)</v>
          </cell>
          <cell r="G116">
            <v>57600</v>
          </cell>
        </row>
        <row r="117">
          <cell r="B117" t="str">
            <v>ค่าเครื่องบินเจ้าหน้าที่ (8 โรงงาน X 2 คน x 2 ครั้ง)</v>
          </cell>
          <cell r="G117">
            <v>160000</v>
          </cell>
        </row>
        <row r="118">
          <cell r="B118" t="str">
            <v>ค่าที่พักเจ้าหน้าที่ (30 โรงงาน x  2 คน x 1 คืน x 2 ครั้ง)</v>
          </cell>
          <cell r="G118">
            <v>90000</v>
          </cell>
        </row>
        <row r="119">
          <cell r="B119" t="str">
            <v>ค่าเอกสารประกอบการตรวจ (2 คน x 1 ชุด 2 ครั้ง)</v>
          </cell>
          <cell r="G119">
            <v>600</v>
          </cell>
        </row>
        <row r="120">
          <cell r="B120" t="str">
            <v>ค่าใช้จ่ายเบ็ดเตล็ดอื่นๆ เช่น ค่าติดต่อประสานงาน (30 โรงงาน x 2 ครั้ง)</v>
          </cell>
          <cell r="G120">
            <v>6000</v>
          </cell>
        </row>
        <row r="125">
          <cell r="B125" t="str">
            <v>ค่าเช่ารถตู้ รวมน้ำมัน (30 โรงงาน X 1 วัน  x 2 ครั้ง)</v>
          </cell>
          <cell r="G125">
            <v>135000</v>
          </cell>
        </row>
        <row r="126">
          <cell r="B126" t="str">
            <v>ค่าเบี้ยเลี้ยงเจ้าหน้าที่ (30 โรงงาน X 1 วัน X 2 คน  x 2 ครั้ง)</v>
          </cell>
          <cell r="G126">
            <v>28800</v>
          </cell>
        </row>
        <row r="127">
          <cell r="B127" t="str">
            <v>ค่าเครื่องบินเจ้าหน้าที่ (8 โรงงาน X 2 คน  x 2 ครั้ง)</v>
          </cell>
          <cell r="G127">
            <v>160000</v>
          </cell>
        </row>
        <row r="128">
          <cell r="B128" t="str">
            <v>ค่าเอกสารประกอบการตรวจ (2 คน x 1 ชุด  x 2 ครั้ง)</v>
          </cell>
          <cell r="G128">
            <v>400</v>
          </cell>
        </row>
        <row r="129">
          <cell r="B129" t="str">
            <v>ค่าใช้จ่ายเบ็ดเตล็ดอื่นๆ เช่น ค่าติดต่อประสานงาน (30 โรงงาน x 2 ครั้ง)</v>
          </cell>
          <cell r="G129">
            <v>6000</v>
          </cell>
        </row>
        <row r="134">
          <cell r="B134" t="str">
            <v>ค่าสถานที่และโสตทัศนูปกรณ์</v>
          </cell>
          <cell r="G134">
            <v>45000</v>
          </cell>
        </row>
        <row r="135">
          <cell r="B135" t="str">
            <v>ค่าอาหารผู้เข้าร่วมประชุม (อาหารเที่ยง) (20 คน x 2 วัน x 5 ครั้ง)</v>
          </cell>
          <cell r="G135">
            <v>120000</v>
          </cell>
        </row>
        <row r="136">
          <cell r="B136" t="str">
            <v>ค่าเช่ารถตู้ รวมน้ำมัน (3 วัน x 5 ครั้ง)</v>
          </cell>
          <cell r="G136">
            <v>33750</v>
          </cell>
        </row>
        <row r="137">
          <cell r="B137" t="str">
            <v>ค่าวิทยากร (7 ชม. X 2 วัน x 5 ครั้ง)</v>
          </cell>
          <cell r="G137">
            <v>84000</v>
          </cell>
        </row>
        <row r="138">
          <cell r="B138" t="str">
            <v>ค่าเบี้ยเลี้ยงเจ้าหน้าที่เตรียมการ (3 คน x 3 วัน x 5 ครั้ง)</v>
          </cell>
          <cell r="G138">
            <v>10800</v>
          </cell>
        </row>
        <row r="139">
          <cell r="B139" t="str">
            <v>ค่าที่พักเจ้าหน้าที่เตรียมการ (3 คน x  2 คืน x 5 ครั้ง)</v>
          </cell>
          <cell r="G139">
            <v>22500</v>
          </cell>
        </row>
        <row r="140">
          <cell r="B140" t="str">
            <v>ค่าที่พักเจ้าหน้าที่ (20 คน x 1 คืน x 5 ครั้ง)</v>
          </cell>
          <cell r="G140">
            <v>75000</v>
          </cell>
        </row>
        <row r="141">
          <cell r="B141" t="str">
            <v>ค่าเอกสารประกอบการอบรม (20 คน x 1 ชุด x 5 ครั้ง)</v>
          </cell>
          <cell r="G141">
            <v>10000</v>
          </cell>
        </row>
        <row r="142">
          <cell r="B142" t="str">
            <v xml:space="preserve">ค่าใช้จ่ายเบ็ดเตล็ดอื่นๆ เช่น ค่าติดต่อประสานงาน </v>
          </cell>
          <cell r="G142">
            <v>4500</v>
          </cell>
        </row>
        <row r="147">
          <cell r="B147" t="str">
            <v>ค่าอาหารผู้เข้าร่วม (อาหารเที่ยง) (ครั้งละ 25 คน x 2 ครั้ง)</v>
          </cell>
          <cell r="G147">
            <v>30000</v>
          </cell>
        </row>
        <row r="148">
          <cell r="B148" t="str">
            <v>ค่าเช่ารถตู้ รวมน้ำมัน (2 วัน x 2 ครั้ง)</v>
          </cell>
          <cell r="G148">
            <v>9000</v>
          </cell>
        </row>
        <row r="149">
          <cell r="B149" t="str">
            <v>ค่าวิทยากร (7 ชม. X 2 วัน x 2 ครั้ง)</v>
          </cell>
          <cell r="G149">
            <v>33600</v>
          </cell>
        </row>
        <row r="150">
          <cell r="B150" t="str">
            <v>ค่าที่พักผู้เข้าร่วม (20 คน x  1 คืน x 2 ครั้ง)</v>
          </cell>
          <cell r="G150">
            <v>30000</v>
          </cell>
        </row>
        <row r="151">
          <cell r="B151" t="str">
            <v>ค่าของที่ระลึก (ครั้งละ 2 ชุด x 2 ครั้ง)</v>
          </cell>
          <cell r="G151">
            <v>6000</v>
          </cell>
        </row>
        <row r="152">
          <cell r="B152" t="str">
            <v xml:space="preserve">ค่าใช้จ่ายเบ็ดเตล็ดอื่นๆ เช่น ค่าติดต่อประสานงาน </v>
          </cell>
          <cell r="G152">
            <v>2000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ฝึกอบรม 21 "/>
      <sheetName val=" ยกระดับ 18"/>
      <sheetName val=" เร่งรัดการจดทะเบียน 15"/>
      <sheetName val="ศูนย์ข้อมูล 10"/>
      <sheetName val=" ขึ้นทะเบียน 10 "/>
      <sheetName val="2.1 ฝึกอบรม"/>
      <sheetName val="2.1 ยกระดับ"/>
      <sheetName val="4.1 เร่งรัดการจดทะเบียน"/>
      <sheetName val="4.1 ศูนย์ข้อมูล"/>
      <sheetName val="4.2 ขึ้นทะเบียน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B1" t="str">
            <v>บุคลากร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48"/>
  <sheetViews>
    <sheetView topLeftCell="A22" workbookViewId="0">
      <selection activeCell="B13" sqref="B13"/>
    </sheetView>
  </sheetViews>
  <sheetFormatPr defaultColWidth="9" defaultRowHeight="18.75"/>
  <cols>
    <col min="1" max="1" width="5.375" style="820" customWidth="1"/>
    <col min="2" max="2" width="70.875" style="94" customWidth="1"/>
    <col min="3" max="3" width="21.625" style="140" customWidth="1"/>
    <col min="4" max="6" width="9" style="94"/>
    <col min="7" max="7" width="18.875" style="94" customWidth="1"/>
    <col min="8" max="16384" width="9" style="94"/>
  </cols>
  <sheetData>
    <row r="1" spans="1:7">
      <c r="A1" s="1365" t="s">
        <v>1075</v>
      </c>
      <c r="B1" s="1365"/>
      <c r="C1" s="1365"/>
    </row>
    <row r="2" spans="1:7">
      <c r="A2" s="1366" t="s">
        <v>1076</v>
      </c>
      <c r="B2" s="1366"/>
      <c r="C2" s="1366"/>
    </row>
    <row r="3" spans="1:7" ht="19.5" thickBot="1">
      <c r="A3" s="147"/>
      <c r="B3" s="147"/>
      <c r="C3" s="837"/>
    </row>
    <row r="4" spans="1:7" s="820" customFormat="1">
      <c r="A4" s="95"/>
      <c r="B4" s="95" t="s">
        <v>0</v>
      </c>
      <c r="C4" s="838" t="s">
        <v>1</v>
      </c>
    </row>
    <row r="5" spans="1:7" ht="19.5" thickBot="1">
      <c r="A5" s="839"/>
      <c r="B5" s="840" t="s">
        <v>1077</v>
      </c>
      <c r="C5" s="841" t="s">
        <v>2</v>
      </c>
    </row>
    <row r="6" spans="1:7" ht="19.5" thickBot="1">
      <c r="A6" s="842">
        <v>1</v>
      </c>
      <c r="B6" s="843" t="s">
        <v>1078</v>
      </c>
      <c r="C6" s="844">
        <v>1091400</v>
      </c>
    </row>
    <row r="7" spans="1:7" s="101" customFormat="1" ht="23.25" customHeight="1">
      <c r="A7" s="845">
        <v>1.1000000000000001</v>
      </c>
      <c r="B7" s="846" t="s">
        <v>3</v>
      </c>
      <c r="C7" s="847">
        <v>847000</v>
      </c>
    </row>
    <row r="8" spans="1:7" s="851" customFormat="1">
      <c r="A8" s="848"/>
      <c r="B8" s="849" t="s">
        <v>1079</v>
      </c>
      <c r="C8" s="850">
        <v>742000</v>
      </c>
    </row>
    <row r="9" spans="1:7" s="851" customFormat="1">
      <c r="A9" s="848"/>
      <c r="B9" s="852" t="s">
        <v>1696</v>
      </c>
      <c r="C9" s="850">
        <v>234000</v>
      </c>
    </row>
    <row r="10" spans="1:7" s="851" customFormat="1">
      <c r="A10" s="848"/>
      <c r="B10" s="852" t="s">
        <v>1080</v>
      </c>
      <c r="C10" s="850">
        <v>240000</v>
      </c>
    </row>
    <row r="11" spans="1:7" s="101" customFormat="1" ht="23.25" customHeight="1">
      <c r="A11" s="110"/>
      <c r="B11" s="852" t="s">
        <v>1081</v>
      </c>
      <c r="C11" s="850">
        <v>208000</v>
      </c>
      <c r="G11" s="853"/>
    </row>
    <row r="12" spans="1:7" s="851" customFormat="1">
      <c r="A12" s="848"/>
      <c r="B12" s="852" t="s">
        <v>1082</v>
      </c>
      <c r="C12" s="850">
        <v>60000</v>
      </c>
      <c r="E12" s="854"/>
    </row>
    <row r="13" spans="1:7" s="851" customFormat="1">
      <c r="A13" s="848"/>
      <c r="B13" s="849" t="s">
        <v>1051</v>
      </c>
      <c r="C13" s="850">
        <v>105000</v>
      </c>
    </row>
    <row r="14" spans="1:7" s="851" customFormat="1">
      <c r="A14" s="848"/>
      <c r="B14" s="852" t="s">
        <v>1083</v>
      </c>
      <c r="C14" s="850">
        <v>105000</v>
      </c>
    </row>
    <row r="15" spans="1:7" s="851" customFormat="1">
      <c r="A15" s="848"/>
      <c r="B15" s="852"/>
      <c r="C15" s="850"/>
    </row>
    <row r="16" spans="1:7" s="857" customFormat="1">
      <c r="A16" s="855">
        <v>1.2</v>
      </c>
      <c r="B16" s="856" t="s">
        <v>1084</v>
      </c>
      <c r="C16" s="847">
        <v>244400</v>
      </c>
    </row>
    <row r="17" spans="1:4" s="851" customFormat="1">
      <c r="A17" s="848"/>
      <c r="B17" s="852" t="s">
        <v>1085</v>
      </c>
      <c r="C17" s="850">
        <v>180000</v>
      </c>
    </row>
    <row r="18" spans="1:4" s="851" customFormat="1">
      <c r="A18" s="848"/>
      <c r="B18" s="852" t="s">
        <v>1086</v>
      </c>
      <c r="C18" s="850">
        <v>20000</v>
      </c>
    </row>
    <row r="19" spans="1:4" s="851" customFormat="1">
      <c r="A19" s="848"/>
      <c r="B19" s="852" t="s">
        <v>1087</v>
      </c>
      <c r="C19" s="850">
        <v>30000</v>
      </c>
    </row>
    <row r="20" spans="1:4" s="851" customFormat="1">
      <c r="A20" s="848"/>
      <c r="B20" s="852" t="s">
        <v>1088</v>
      </c>
      <c r="C20" s="850">
        <v>14400</v>
      </c>
    </row>
    <row r="21" spans="1:4" s="101" customFormat="1" ht="23.25" customHeight="1" thickBot="1">
      <c r="A21" s="110"/>
      <c r="B21" s="852"/>
      <c r="C21" s="850"/>
    </row>
    <row r="22" spans="1:4" s="851" customFormat="1" ht="19.5" thickBot="1">
      <c r="A22" s="842">
        <v>2</v>
      </c>
      <c r="B22" s="843" t="s">
        <v>1089</v>
      </c>
      <c r="C22" s="844">
        <v>4000000</v>
      </c>
    </row>
    <row r="23" spans="1:4" s="851" customFormat="1" ht="37.5">
      <c r="A23" s="848"/>
      <c r="B23" s="858" t="s">
        <v>1090</v>
      </c>
      <c r="C23" s="850">
        <v>4000000</v>
      </c>
    </row>
    <row r="24" spans="1:4" s="851" customFormat="1" ht="19.5" thickBot="1">
      <c r="A24" s="848"/>
      <c r="B24" s="852"/>
      <c r="C24" s="850"/>
    </row>
    <row r="25" spans="1:4" s="851" customFormat="1" ht="19.5" thickBot="1">
      <c r="A25" s="842">
        <v>3</v>
      </c>
      <c r="B25" s="843" t="s">
        <v>1091</v>
      </c>
      <c r="C25" s="844">
        <v>8009400</v>
      </c>
    </row>
    <row r="26" spans="1:4" s="851" customFormat="1">
      <c r="A26" s="848">
        <v>3.1</v>
      </c>
      <c r="B26" s="852" t="s">
        <v>1092</v>
      </c>
      <c r="C26" s="850">
        <v>7780000</v>
      </c>
    </row>
    <row r="27" spans="1:4" s="862" customFormat="1">
      <c r="A27" s="859"/>
      <c r="B27" s="860" t="s">
        <v>1102</v>
      </c>
      <c r="C27" s="850">
        <v>180000</v>
      </c>
      <c r="D27" s="861"/>
    </row>
    <row r="28" spans="1:4" s="862" customFormat="1">
      <c r="A28" s="859"/>
      <c r="B28" s="860" t="s">
        <v>1103</v>
      </c>
      <c r="C28" s="850">
        <v>7600000</v>
      </c>
      <c r="D28" s="861"/>
    </row>
    <row r="29" spans="1:4" s="851" customFormat="1">
      <c r="A29" s="848"/>
      <c r="B29" s="852"/>
      <c r="C29" s="850"/>
    </row>
    <row r="30" spans="1:4" s="851" customFormat="1">
      <c r="A30" s="848">
        <v>3.2</v>
      </c>
      <c r="B30" s="852" t="s">
        <v>1093</v>
      </c>
      <c r="C30" s="850">
        <v>229400</v>
      </c>
    </row>
    <row r="31" spans="1:4" s="851" customFormat="1">
      <c r="A31" s="848"/>
      <c r="B31" s="852" t="s">
        <v>1094</v>
      </c>
      <c r="C31" s="850">
        <v>38400</v>
      </c>
    </row>
    <row r="32" spans="1:4">
      <c r="A32" s="848"/>
      <c r="B32" s="852" t="s">
        <v>1095</v>
      </c>
      <c r="C32" s="850">
        <v>90000</v>
      </c>
    </row>
    <row r="33" spans="1:7" s="101" customFormat="1" ht="23.25" customHeight="1">
      <c r="A33" s="110"/>
      <c r="B33" s="852" t="s">
        <v>1096</v>
      </c>
      <c r="C33" s="850">
        <v>96000</v>
      </c>
      <c r="G33" s="863"/>
    </row>
    <row r="34" spans="1:7" s="851" customFormat="1">
      <c r="A34" s="848"/>
      <c r="B34" s="852" t="s">
        <v>1104</v>
      </c>
      <c r="C34" s="850">
        <v>5000</v>
      </c>
    </row>
    <row r="35" spans="1:7" s="851" customFormat="1">
      <c r="A35" s="848"/>
      <c r="B35" s="852"/>
      <c r="C35" s="850"/>
    </row>
    <row r="36" spans="1:7" s="851" customFormat="1" ht="19.5" thickBot="1">
      <c r="A36" s="848"/>
      <c r="B36" s="852"/>
      <c r="C36" s="850"/>
    </row>
    <row r="37" spans="1:7" s="851" customFormat="1" ht="19.5" thickBot="1">
      <c r="A37" s="842">
        <v>4</v>
      </c>
      <c r="B37" s="843" t="s">
        <v>1097</v>
      </c>
      <c r="C37" s="844">
        <v>14000</v>
      </c>
    </row>
    <row r="38" spans="1:7" s="851" customFormat="1">
      <c r="A38" s="848"/>
      <c r="B38" s="852" t="s">
        <v>1098</v>
      </c>
      <c r="C38" s="850">
        <v>2500</v>
      </c>
    </row>
    <row r="39" spans="1:7" s="851" customFormat="1">
      <c r="A39" s="848"/>
      <c r="B39" s="852" t="s">
        <v>1099</v>
      </c>
      <c r="C39" s="850">
        <v>2500</v>
      </c>
    </row>
    <row r="40" spans="1:7" s="851" customFormat="1">
      <c r="A40" s="848"/>
      <c r="B40" s="852" t="s">
        <v>1100</v>
      </c>
      <c r="C40" s="850">
        <v>4000</v>
      </c>
    </row>
    <row r="41" spans="1:7" s="851" customFormat="1">
      <c r="A41" s="848"/>
      <c r="B41" s="852" t="s">
        <v>23</v>
      </c>
      <c r="C41" s="850">
        <v>5000</v>
      </c>
    </row>
    <row r="42" spans="1:7" s="101" customFormat="1" ht="23.25" customHeight="1" thickBot="1">
      <c r="A42" s="110"/>
      <c r="B42" s="112"/>
      <c r="C42" s="864"/>
    </row>
    <row r="43" spans="1:7" s="101" customFormat="1" ht="23.25" customHeight="1">
      <c r="A43" s="130"/>
      <c r="B43" s="131" t="s">
        <v>4</v>
      </c>
      <c r="C43" s="865">
        <v>13114800</v>
      </c>
    </row>
    <row r="44" spans="1:7" ht="23.25" customHeight="1">
      <c r="A44" s="133"/>
      <c r="B44" s="134" t="s">
        <v>1101</v>
      </c>
      <c r="C44" s="135"/>
    </row>
    <row r="45" spans="1:7" ht="23.25" customHeight="1" thickBot="1">
      <c r="A45" s="136"/>
      <c r="B45" s="137"/>
      <c r="C45" s="138"/>
      <c r="G45" s="866"/>
    </row>
    <row r="46" spans="1:7" ht="23.25" customHeight="1">
      <c r="B46" s="97"/>
      <c r="C46" s="139"/>
    </row>
    <row r="47" spans="1:7" ht="21.75" customHeight="1">
      <c r="C47" s="139"/>
    </row>
    <row r="48" spans="1:7" ht="21.75" customHeight="1"/>
  </sheetData>
  <mergeCells count="2">
    <mergeCell ref="A1:C1"/>
    <mergeCell ref="A2:C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M61"/>
  <sheetViews>
    <sheetView workbookViewId="0">
      <selection sqref="A1:H1"/>
    </sheetView>
  </sheetViews>
  <sheetFormatPr defaultColWidth="8.875" defaultRowHeight="18.75"/>
  <cols>
    <col min="1" max="1" width="7.125" style="1" customWidth="1"/>
    <col min="2" max="2" width="5.25" style="1159" customWidth="1"/>
    <col min="3" max="3" width="43.875" style="1" customWidth="1"/>
    <col min="4" max="4" width="9.25" style="32" customWidth="1"/>
    <col min="5" max="5" width="6.25" style="33" customWidth="1"/>
    <col min="6" max="6" width="5.75" style="33" customWidth="1"/>
    <col min="7" max="7" width="6.125" style="33" customWidth="1"/>
    <col min="8" max="8" width="12.125" style="1" customWidth="1"/>
    <col min="9" max="10" width="8.875" style="1"/>
    <col min="11" max="11" width="13.25" style="1" customWidth="1"/>
    <col min="12" max="256" width="8.875" style="1"/>
    <col min="257" max="257" width="12.125" style="1" customWidth="1"/>
    <col min="258" max="258" width="6.25" style="1" customWidth="1"/>
    <col min="259" max="259" width="60.75" style="1" customWidth="1"/>
    <col min="260" max="260" width="17" style="1" customWidth="1"/>
    <col min="261" max="261" width="7.25" style="1" customWidth="1"/>
    <col min="262" max="262" width="7.875" style="1" customWidth="1"/>
    <col min="263" max="263" width="8.125" style="1" customWidth="1"/>
    <col min="264" max="264" width="15.25" style="1" customWidth="1"/>
    <col min="265" max="266" width="8.875" style="1"/>
    <col min="267" max="267" width="13.25" style="1" customWidth="1"/>
    <col min="268" max="512" width="8.875" style="1"/>
    <col min="513" max="513" width="12.125" style="1" customWidth="1"/>
    <col min="514" max="514" width="6.25" style="1" customWidth="1"/>
    <col min="515" max="515" width="60.75" style="1" customWidth="1"/>
    <col min="516" max="516" width="17" style="1" customWidth="1"/>
    <col min="517" max="517" width="7.25" style="1" customWidth="1"/>
    <col min="518" max="518" width="7.875" style="1" customWidth="1"/>
    <col min="519" max="519" width="8.125" style="1" customWidth="1"/>
    <col min="520" max="520" width="15.25" style="1" customWidth="1"/>
    <col min="521" max="522" width="8.875" style="1"/>
    <col min="523" max="523" width="13.25" style="1" customWidth="1"/>
    <col min="524" max="768" width="8.875" style="1"/>
    <col min="769" max="769" width="12.125" style="1" customWidth="1"/>
    <col min="770" max="770" width="6.25" style="1" customWidth="1"/>
    <col min="771" max="771" width="60.75" style="1" customWidth="1"/>
    <col min="772" max="772" width="17" style="1" customWidth="1"/>
    <col min="773" max="773" width="7.25" style="1" customWidth="1"/>
    <col min="774" max="774" width="7.875" style="1" customWidth="1"/>
    <col min="775" max="775" width="8.125" style="1" customWidth="1"/>
    <col min="776" max="776" width="15.25" style="1" customWidth="1"/>
    <col min="777" max="778" width="8.875" style="1"/>
    <col min="779" max="779" width="13.25" style="1" customWidth="1"/>
    <col min="780" max="1024" width="8.875" style="1"/>
    <col min="1025" max="1025" width="12.125" style="1" customWidth="1"/>
    <col min="1026" max="1026" width="6.25" style="1" customWidth="1"/>
    <col min="1027" max="1027" width="60.75" style="1" customWidth="1"/>
    <col min="1028" max="1028" width="17" style="1" customWidth="1"/>
    <col min="1029" max="1029" width="7.25" style="1" customWidth="1"/>
    <col min="1030" max="1030" width="7.875" style="1" customWidth="1"/>
    <col min="1031" max="1031" width="8.125" style="1" customWidth="1"/>
    <col min="1032" max="1032" width="15.25" style="1" customWidth="1"/>
    <col min="1033" max="1034" width="8.875" style="1"/>
    <col min="1035" max="1035" width="13.25" style="1" customWidth="1"/>
    <col min="1036" max="1280" width="8.875" style="1"/>
    <col min="1281" max="1281" width="12.125" style="1" customWidth="1"/>
    <col min="1282" max="1282" width="6.25" style="1" customWidth="1"/>
    <col min="1283" max="1283" width="60.75" style="1" customWidth="1"/>
    <col min="1284" max="1284" width="17" style="1" customWidth="1"/>
    <col min="1285" max="1285" width="7.25" style="1" customWidth="1"/>
    <col min="1286" max="1286" width="7.875" style="1" customWidth="1"/>
    <col min="1287" max="1287" width="8.125" style="1" customWidth="1"/>
    <col min="1288" max="1288" width="15.25" style="1" customWidth="1"/>
    <col min="1289" max="1290" width="8.875" style="1"/>
    <col min="1291" max="1291" width="13.25" style="1" customWidth="1"/>
    <col min="1292" max="1536" width="8.875" style="1"/>
    <col min="1537" max="1537" width="12.125" style="1" customWidth="1"/>
    <col min="1538" max="1538" width="6.25" style="1" customWidth="1"/>
    <col min="1539" max="1539" width="60.75" style="1" customWidth="1"/>
    <col min="1540" max="1540" width="17" style="1" customWidth="1"/>
    <col min="1541" max="1541" width="7.25" style="1" customWidth="1"/>
    <col min="1542" max="1542" width="7.875" style="1" customWidth="1"/>
    <col min="1543" max="1543" width="8.125" style="1" customWidth="1"/>
    <col min="1544" max="1544" width="15.25" style="1" customWidth="1"/>
    <col min="1545" max="1546" width="8.875" style="1"/>
    <col min="1547" max="1547" width="13.25" style="1" customWidth="1"/>
    <col min="1548" max="1792" width="8.875" style="1"/>
    <col min="1793" max="1793" width="12.125" style="1" customWidth="1"/>
    <col min="1794" max="1794" width="6.25" style="1" customWidth="1"/>
    <col min="1795" max="1795" width="60.75" style="1" customWidth="1"/>
    <col min="1796" max="1796" width="17" style="1" customWidth="1"/>
    <col min="1797" max="1797" width="7.25" style="1" customWidth="1"/>
    <col min="1798" max="1798" width="7.875" style="1" customWidth="1"/>
    <col min="1799" max="1799" width="8.125" style="1" customWidth="1"/>
    <col min="1800" max="1800" width="15.25" style="1" customWidth="1"/>
    <col min="1801" max="1802" width="8.875" style="1"/>
    <col min="1803" max="1803" width="13.25" style="1" customWidth="1"/>
    <col min="1804" max="2048" width="8.875" style="1"/>
    <col min="2049" max="2049" width="12.125" style="1" customWidth="1"/>
    <col min="2050" max="2050" width="6.25" style="1" customWidth="1"/>
    <col min="2051" max="2051" width="60.75" style="1" customWidth="1"/>
    <col min="2052" max="2052" width="17" style="1" customWidth="1"/>
    <col min="2053" max="2053" width="7.25" style="1" customWidth="1"/>
    <col min="2054" max="2054" width="7.875" style="1" customWidth="1"/>
    <col min="2055" max="2055" width="8.125" style="1" customWidth="1"/>
    <col min="2056" max="2056" width="15.25" style="1" customWidth="1"/>
    <col min="2057" max="2058" width="8.875" style="1"/>
    <col min="2059" max="2059" width="13.25" style="1" customWidth="1"/>
    <col min="2060" max="2304" width="8.875" style="1"/>
    <col min="2305" max="2305" width="12.125" style="1" customWidth="1"/>
    <col min="2306" max="2306" width="6.25" style="1" customWidth="1"/>
    <col min="2307" max="2307" width="60.75" style="1" customWidth="1"/>
    <col min="2308" max="2308" width="17" style="1" customWidth="1"/>
    <col min="2309" max="2309" width="7.25" style="1" customWidth="1"/>
    <col min="2310" max="2310" width="7.875" style="1" customWidth="1"/>
    <col min="2311" max="2311" width="8.125" style="1" customWidth="1"/>
    <col min="2312" max="2312" width="15.25" style="1" customWidth="1"/>
    <col min="2313" max="2314" width="8.875" style="1"/>
    <col min="2315" max="2315" width="13.25" style="1" customWidth="1"/>
    <col min="2316" max="2560" width="8.875" style="1"/>
    <col min="2561" max="2561" width="12.125" style="1" customWidth="1"/>
    <col min="2562" max="2562" width="6.25" style="1" customWidth="1"/>
    <col min="2563" max="2563" width="60.75" style="1" customWidth="1"/>
    <col min="2564" max="2564" width="17" style="1" customWidth="1"/>
    <col min="2565" max="2565" width="7.25" style="1" customWidth="1"/>
    <col min="2566" max="2566" width="7.875" style="1" customWidth="1"/>
    <col min="2567" max="2567" width="8.125" style="1" customWidth="1"/>
    <col min="2568" max="2568" width="15.25" style="1" customWidth="1"/>
    <col min="2569" max="2570" width="8.875" style="1"/>
    <col min="2571" max="2571" width="13.25" style="1" customWidth="1"/>
    <col min="2572" max="2816" width="8.875" style="1"/>
    <col min="2817" max="2817" width="12.125" style="1" customWidth="1"/>
    <col min="2818" max="2818" width="6.25" style="1" customWidth="1"/>
    <col min="2819" max="2819" width="60.75" style="1" customWidth="1"/>
    <col min="2820" max="2820" width="17" style="1" customWidth="1"/>
    <col min="2821" max="2821" width="7.25" style="1" customWidth="1"/>
    <col min="2822" max="2822" width="7.875" style="1" customWidth="1"/>
    <col min="2823" max="2823" width="8.125" style="1" customWidth="1"/>
    <col min="2824" max="2824" width="15.25" style="1" customWidth="1"/>
    <col min="2825" max="2826" width="8.875" style="1"/>
    <col min="2827" max="2827" width="13.25" style="1" customWidth="1"/>
    <col min="2828" max="3072" width="8.875" style="1"/>
    <col min="3073" max="3073" width="12.125" style="1" customWidth="1"/>
    <col min="3074" max="3074" width="6.25" style="1" customWidth="1"/>
    <col min="3075" max="3075" width="60.75" style="1" customWidth="1"/>
    <col min="3076" max="3076" width="17" style="1" customWidth="1"/>
    <col min="3077" max="3077" width="7.25" style="1" customWidth="1"/>
    <col min="3078" max="3078" width="7.875" style="1" customWidth="1"/>
    <col min="3079" max="3079" width="8.125" style="1" customWidth="1"/>
    <col min="3080" max="3080" width="15.25" style="1" customWidth="1"/>
    <col min="3081" max="3082" width="8.875" style="1"/>
    <col min="3083" max="3083" width="13.25" style="1" customWidth="1"/>
    <col min="3084" max="3328" width="8.875" style="1"/>
    <col min="3329" max="3329" width="12.125" style="1" customWidth="1"/>
    <col min="3330" max="3330" width="6.25" style="1" customWidth="1"/>
    <col min="3331" max="3331" width="60.75" style="1" customWidth="1"/>
    <col min="3332" max="3332" width="17" style="1" customWidth="1"/>
    <col min="3333" max="3333" width="7.25" style="1" customWidth="1"/>
    <col min="3334" max="3334" width="7.875" style="1" customWidth="1"/>
    <col min="3335" max="3335" width="8.125" style="1" customWidth="1"/>
    <col min="3336" max="3336" width="15.25" style="1" customWidth="1"/>
    <col min="3337" max="3338" width="8.875" style="1"/>
    <col min="3339" max="3339" width="13.25" style="1" customWidth="1"/>
    <col min="3340" max="3584" width="8.875" style="1"/>
    <col min="3585" max="3585" width="12.125" style="1" customWidth="1"/>
    <col min="3586" max="3586" width="6.25" style="1" customWidth="1"/>
    <col min="3587" max="3587" width="60.75" style="1" customWidth="1"/>
    <col min="3588" max="3588" width="17" style="1" customWidth="1"/>
    <col min="3589" max="3589" width="7.25" style="1" customWidth="1"/>
    <col min="3590" max="3590" width="7.875" style="1" customWidth="1"/>
    <col min="3591" max="3591" width="8.125" style="1" customWidth="1"/>
    <col min="3592" max="3592" width="15.25" style="1" customWidth="1"/>
    <col min="3593" max="3594" width="8.875" style="1"/>
    <col min="3595" max="3595" width="13.25" style="1" customWidth="1"/>
    <col min="3596" max="3840" width="8.875" style="1"/>
    <col min="3841" max="3841" width="12.125" style="1" customWidth="1"/>
    <col min="3842" max="3842" width="6.25" style="1" customWidth="1"/>
    <col min="3843" max="3843" width="60.75" style="1" customWidth="1"/>
    <col min="3844" max="3844" width="17" style="1" customWidth="1"/>
    <col min="3845" max="3845" width="7.25" style="1" customWidth="1"/>
    <col min="3846" max="3846" width="7.875" style="1" customWidth="1"/>
    <col min="3847" max="3847" width="8.125" style="1" customWidth="1"/>
    <col min="3848" max="3848" width="15.25" style="1" customWidth="1"/>
    <col min="3849" max="3850" width="8.875" style="1"/>
    <col min="3851" max="3851" width="13.25" style="1" customWidth="1"/>
    <col min="3852" max="4096" width="8.875" style="1"/>
    <col min="4097" max="4097" width="12.125" style="1" customWidth="1"/>
    <col min="4098" max="4098" width="6.25" style="1" customWidth="1"/>
    <col min="4099" max="4099" width="60.75" style="1" customWidth="1"/>
    <col min="4100" max="4100" width="17" style="1" customWidth="1"/>
    <col min="4101" max="4101" width="7.25" style="1" customWidth="1"/>
    <col min="4102" max="4102" width="7.875" style="1" customWidth="1"/>
    <col min="4103" max="4103" width="8.125" style="1" customWidth="1"/>
    <col min="4104" max="4104" width="15.25" style="1" customWidth="1"/>
    <col min="4105" max="4106" width="8.875" style="1"/>
    <col min="4107" max="4107" width="13.25" style="1" customWidth="1"/>
    <col min="4108" max="4352" width="8.875" style="1"/>
    <col min="4353" max="4353" width="12.125" style="1" customWidth="1"/>
    <col min="4354" max="4354" width="6.25" style="1" customWidth="1"/>
    <col min="4355" max="4355" width="60.75" style="1" customWidth="1"/>
    <col min="4356" max="4356" width="17" style="1" customWidth="1"/>
    <col min="4357" max="4357" width="7.25" style="1" customWidth="1"/>
    <col min="4358" max="4358" width="7.875" style="1" customWidth="1"/>
    <col min="4359" max="4359" width="8.125" style="1" customWidth="1"/>
    <col min="4360" max="4360" width="15.25" style="1" customWidth="1"/>
    <col min="4361" max="4362" width="8.875" style="1"/>
    <col min="4363" max="4363" width="13.25" style="1" customWidth="1"/>
    <col min="4364" max="4608" width="8.875" style="1"/>
    <col min="4609" max="4609" width="12.125" style="1" customWidth="1"/>
    <col min="4610" max="4610" width="6.25" style="1" customWidth="1"/>
    <col min="4611" max="4611" width="60.75" style="1" customWidth="1"/>
    <col min="4612" max="4612" width="17" style="1" customWidth="1"/>
    <col min="4613" max="4613" width="7.25" style="1" customWidth="1"/>
    <col min="4614" max="4614" width="7.875" style="1" customWidth="1"/>
    <col min="4615" max="4615" width="8.125" style="1" customWidth="1"/>
    <col min="4616" max="4616" width="15.25" style="1" customWidth="1"/>
    <col min="4617" max="4618" width="8.875" style="1"/>
    <col min="4619" max="4619" width="13.25" style="1" customWidth="1"/>
    <col min="4620" max="4864" width="8.875" style="1"/>
    <col min="4865" max="4865" width="12.125" style="1" customWidth="1"/>
    <col min="4866" max="4866" width="6.25" style="1" customWidth="1"/>
    <col min="4867" max="4867" width="60.75" style="1" customWidth="1"/>
    <col min="4868" max="4868" width="17" style="1" customWidth="1"/>
    <col min="4869" max="4869" width="7.25" style="1" customWidth="1"/>
    <col min="4870" max="4870" width="7.875" style="1" customWidth="1"/>
    <col min="4871" max="4871" width="8.125" style="1" customWidth="1"/>
    <col min="4872" max="4872" width="15.25" style="1" customWidth="1"/>
    <col min="4873" max="4874" width="8.875" style="1"/>
    <col min="4875" max="4875" width="13.25" style="1" customWidth="1"/>
    <col min="4876" max="5120" width="8.875" style="1"/>
    <col min="5121" max="5121" width="12.125" style="1" customWidth="1"/>
    <col min="5122" max="5122" width="6.25" style="1" customWidth="1"/>
    <col min="5123" max="5123" width="60.75" style="1" customWidth="1"/>
    <col min="5124" max="5124" width="17" style="1" customWidth="1"/>
    <col min="5125" max="5125" width="7.25" style="1" customWidth="1"/>
    <col min="5126" max="5126" width="7.875" style="1" customWidth="1"/>
    <col min="5127" max="5127" width="8.125" style="1" customWidth="1"/>
    <col min="5128" max="5128" width="15.25" style="1" customWidth="1"/>
    <col min="5129" max="5130" width="8.875" style="1"/>
    <col min="5131" max="5131" width="13.25" style="1" customWidth="1"/>
    <col min="5132" max="5376" width="8.875" style="1"/>
    <col min="5377" max="5377" width="12.125" style="1" customWidth="1"/>
    <col min="5378" max="5378" width="6.25" style="1" customWidth="1"/>
    <col min="5379" max="5379" width="60.75" style="1" customWidth="1"/>
    <col min="5380" max="5380" width="17" style="1" customWidth="1"/>
    <col min="5381" max="5381" width="7.25" style="1" customWidth="1"/>
    <col min="5382" max="5382" width="7.875" style="1" customWidth="1"/>
    <col min="5383" max="5383" width="8.125" style="1" customWidth="1"/>
    <col min="5384" max="5384" width="15.25" style="1" customWidth="1"/>
    <col min="5385" max="5386" width="8.875" style="1"/>
    <col min="5387" max="5387" width="13.25" style="1" customWidth="1"/>
    <col min="5388" max="5632" width="8.875" style="1"/>
    <col min="5633" max="5633" width="12.125" style="1" customWidth="1"/>
    <col min="5634" max="5634" width="6.25" style="1" customWidth="1"/>
    <col min="5635" max="5635" width="60.75" style="1" customWidth="1"/>
    <col min="5636" max="5636" width="17" style="1" customWidth="1"/>
    <col min="5637" max="5637" width="7.25" style="1" customWidth="1"/>
    <col min="5638" max="5638" width="7.875" style="1" customWidth="1"/>
    <col min="5639" max="5639" width="8.125" style="1" customWidth="1"/>
    <col min="5640" max="5640" width="15.25" style="1" customWidth="1"/>
    <col min="5641" max="5642" width="8.875" style="1"/>
    <col min="5643" max="5643" width="13.25" style="1" customWidth="1"/>
    <col min="5644" max="5888" width="8.875" style="1"/>
    <col min="5889" max="5889" width="12.125" style="1" customWidth="1"/>
    <col min="5890" max="5890" width="6.25" style="1" customWidth="1"/>
    <col min="5891" max="5891" width="60.75" style="1" customWidth="1"/>
    <col min="5892" max="5892" width="17" style="1" customWidth="1"/>
    <col min="5893" max="5893" width="7.25" style="1" customWidth="1"/>
    <col min="5894" max="5894" width="7.875" style="1" customWidth="1"/>
    <col min="5895" max="5895" width="8.125" style="1" customWidth="1"/>
    <col min="5896" max="5896" width="15.25" style="1" customWidth="1"/>
    <col min="5897" max="5898" width="8.875" style="1"/>
    <col min="5899" max="5899" width="13.25" style="1" customWidth="1"/>
    <col min="5900" max="6144" width="8.875" style="1"/>
    <col min="6145" max="6145" width="12.125" style="1" customWidth="1"/>
    <col min="6146" max="6146" width="6.25" style="1" customWidth="1"/>
    <col min="6147" max="6147" width="60.75" style="1" customWidth="1"/>
    <col min="6148" max="6148" width="17" style="1" customWidth="1"/>
    <col min="6149" max="6149" width="7.25" style="1" customWidth="1"/>
    <col min="6150" max="6150" width="7.875" style="1" customWidth="1"/>
    <col min="6151" max="6151" width="8.125" style="1" customWidth="1"/>
    <col min="6152" max="6152" width="15.25" style="1" customWidth="1"/>
    <col min="6153" max="6154" width="8.875" style="1"/>
    <col min="6155" max="6155" width="13.25" style="1" customWidth="1"/>
    <col min="6156" max="6400" width="8.875" style="1"/>
    <col min="6401" max="6401" width="12.125" style="1" customWidth="1"/>
    <col min="6402" max="6402" width="6.25" style="1" customWidth="1"/>
    <col min="6403" max="6403" width="60.75" style="1" customWidth="1"/>
    <col min="6404" max="6404" width="17" style="1" customWidth="1"/>
    <col min="6405" max="6405" width="7.25" style="1" customWidth="1"/>
    <col min="6406" max="6406" width="7.875" style="1" customWidth="1"/>
    <col min="6407" max="6407" width="8.125" style="1" customWidth="1"/>
    <col min="6408" max="6408" width="15.25" style="1" customWidth="1"/>
    <col min="6409" max="6410" width="8.875" style="1"/>
    <col min="6411" max="6411" width="13.25" style="1" customWidth="1"/>
    <col min="6412" max="6656" width="8.875" style="1"/>
    <col min="6657" max="6657" width="12.125" style="1" customWidth="1"/>
    <col min="6658" max="6658" width="6.25" style="1" customWidth="1"/>
    <col min="6659" max="6659" width="60.75" style="1" customWidth="1"/>
    <col min="6660" max="6660" width="17" style="1" customWidth="1"/>
    <col min="6661" max="6661" width="7.25" style="1" customWidth="1"/>
    <col min="6662" max="6662" width="7.875" style="1" customWidth="1"/>
    <col min="6663" max="6663" width="8.125" style="1" customWidth="1"/>
    <col min="6664" max="6664" width="15.25" style="1" customWidth="1"/>
    <col min="6665" max="6666" width="8.875" style="1"/>
    <col min="6667" max="6667" width="13.25" style="1" customWidth="1"/>
    <col min="6668" max="6912" width="8.875" style="1"/>
    <col min="6913" max="6913" width="12.125" style="1" customWidth="1"/>
    <col min="6914" max="6914" width="6.25" style="1" customWidth="1"/>
    <col min="6915" max="6915" width="60.75" style="1" customWidth="1"/>
    <col min="6916" max="6916" width="17" style="1" customWidth="1"/>
    <col min="6917" max="6917" width="7.25" style="1" customWidth="1"/>
    <col min="6918" max="6918" width="7.875" style="1" customWidth="1"/>
    <col min="6919" max="6919" width="8.125" style="1" customWidth="1"/>
    <col min="6920" max="6920" width="15.25" style="1" customWidth="1"/>
    <col min="6921" max="6922" width="8.875" style="1"/>
    <col min="6923" max="6923" width="13.25" style="1" customWidth="1"/>
    <col min="6924" max="7168" width="8.875" style="1"/>
    <col min="7169" max="7169" width="12.125" style="1" customWidth="1"/>
    <col min="7170" max="7170" width="6.25" style="1" customWidth="1"/>
    <col min="7171" max="7171" width="60.75" style="1" customWidth="1"/>
    <col min="7172" max="7172" width="17" style="1" customWidth="1"/>
    <col min="7173" max="7173" width="7.25" style="1" customWidth="1"/>
    <col min="7174" max="7174" width="7.875" style="1" customWidth="1"/>
    <col min="7175" max="7175" width="8.125" style="1" customWidth="1"/>
    <col min="7176" max="7176" width="15.25" style="1" customWidth="1"/>
    <col min="7177" max="7178" width="8.875" style="1"/>
    <col min="7179" max="7179" width="13.25" style="1" customWidth="1"/>
    <col min="7180" max="7424" width="8.875" style="1"/>
    <col min="7425" max="7425" width="12.125" style="1" customWidth="1"/>
    <col min="7426" max="7426" width="6.25" style="1" customWidth="1"/>
    <col min="7427" max="7427" width="60.75" style="1" customWidth="1"/>
    <col min="7428" max="7428" width="17" style="1" customWidth="1"/>
    <col min="7429" max="7429" width="7.25" style="1" customWidth="1"/>
    <col min="7430" max="7430" width="7.875" style="1" customWidth="1"/>
    <col min="7431" max="7431" width="8.125" style="1" customWidth="1"/>
    <col min="7432" max="7432" width="15.25" style="1" customWidth="1"/>
    <col min="7433" max="7434" width="8.875" style="1"/>
    <col min="7435" max="7435" width="13.25" style="1" customWidth="1"/>
    <col min="7436" max="7680" width="8.875" style="1"/>
    <col min="7681" max="7681" width="12.125" style="1" customWidth="1"/>
    <col min="7682" max="7682" width="6.25" style="1" customWidth="1"/>
    <col min="7683" max="7683" width="60.75" style="1" customWidth="1"/>
    <col min="7684" max="7684" width="17" style="1" customWidth="1"/>
    <col min="7685" max="7685" width="7.25" style="1" customWidth="1"/>
    <col min="7686" max="7686" width="7.875" style="1" customWidth="1"/>
    <col min="7687" max="7687" width="8.125" style="1" customWidth="1"/>
    <col min="7688" max="7688" width="15.25" style="1" customWidth="1"/>
    <col min="7689" max="7690" width="8.875" style="1"/>
    <col min="7691" max="7691" width="13.25" style="1" customWidth="1"/>
    <col min="7692" max="7936" width="8.875" style="1"/>
    <col min="7937" max="7937" width="12.125" style="1" customWidth="1"/>
    <col min="7938" max="7938" width="6.25" style="1" customWidth="1"/>
    <col min="7939" max="7939" width="60.75" style="1" customWidth="1"/>
    <col min="7940" max="7940" width="17" style="1" customWidth="1"/>
    <col min="7941" max="7941" width="7.25" style="1" customWidth="1"/>
    <col min="7942" max="7942" width="7.875" style="1" customWidth="1"/>
    <col min="7943" max="7943" width="8.125" style="1" customWidth="1"/>
    <col min="7944" max="7944" width="15.25" style="1" customWidth="1"/>
    <col min="7945" max="7946" width="8.875" style="1"/>
    <col min="7947" max="7947" width="13.25" style="1" customWidth="1"/>
    <col min="7948" max="8192" width="8.875" style="1"/>
    <col min="8193" max="8193" width="12.125" style="1" customWidth="1"/>
    <col min="8194" max="8194" width="6.25" style="1" customWidth="1"/>
    <col min="8195" max="8195" width="60.75" style="1" customWidth="1"/>
    <col min="8196" max="8196" width="17" style="1" customWidth="1"/>
    <col min="8197" max="8197" width="7.25" style="1" customWidth="1"/>
    <col min="8198" max="8198" width="7.875" style="1" customWidth="1"/>
    <col min="8199" max="8199" width="8.125" style="1" customWidth="1"/>
    <col min="8200" max="8200" width="15.25" style="1" customWidth="1"/>
    <col min="8201" max="8202" width="8.875" style="1"/>
    <col min="8203" max="8203" width="13.25" style="1" customWidth="1"/>
    <col min="8204" max="8448" width="8.875" style="1"/>
    <col min="8449" max="8449" width="12.125" style="1" customWidth="1"/>
    <col min="8450" max="8450" width="6.25" style="1" customWidth="1"/>
    <col min="8451" max="8451" width="60.75" style="1" customWidth="1"/>
    <col min="8452" max="8452" width="17" style="1" customWidth="1"/>
    <col min="8453" max="8453" width="7.25" style="1" customWidth="1"/>
    <col min="8454" max="8454" width="7.875" style="1" customWidth="1"/>
    <col min="8455" max="8455" width="8.125" style="1" customWidth="1"/>
    <col min="8456" max="8456" width="15.25" style="1" customWidth="1"/>
    <col min="8457" max="8458" width="8.875" style="1"/>
    <col min="8459" max="8459" width="13.25" style="1" customWidth="1"/>
    <col min="8460" max="8704" width="8.875" style="1"/>
    <col min="8705" max="8705" width="12.125" style="1" customWidth="1"/>
    <col min="8706" max="8706" width="6.25" style="1" customWidth="1"/>
    <col min="8707" max="8707" width="60.75" style="1" customWidth="1"/>
    <col min="8708" max="8708" width="17" style="1" customWidth="1"/>
    <col min="8709" max="8709" width="7.25" style="1" customWidth="1"/>
    <col min="8710" max="8710" width="7.875" style="1" customWidth="1"/>
    <col min="8711" max="8711" width="8.125" style="1" customWidth="1"/>
    <col min="8712" max="8712" width="15.25" style="1" customWidth="1"/>
    <col min="8713" max="8714" width="8.875" style="1"/>
    <col min="8715" max="8715" width="13.25" style="1" customWidth="1"/>
    <col min="8716" max="8960" width="8.875" style="1"/>
    <col min="8961" max="8961" width="12.125" style="1" customWidth="1"/>
    <col min="8962" max="8962" width="6.25" style="1" customWidth="1"/>
    <col min="8963" max="8963" width="60.75" style="1" customWidth="1"/>
    <col min="8964" max="8964" width="17" style="1" customWidth="1"/>
    <col min="8965" max="8965" width="7.25" style="1" customWidth="1"/>
    <col min="8966" max="8966" width="7.875" style="1" customWidth="1"/>
    <col min="8967" max="8967" width="8.125" style="1" customWidth="1"/>
    <col min="8968" max="8968" width="15.25" style="1" customWidth="1"/>
    <col min="8969" max="8970" width="8.875" style="1"/>
    <col min="8971" max="8971" width="13.25" style="1" customWidth="1"/>
    <col min="8972" max="9216" width="8.875" style="1"/>
    <col min="9217" max="9217" width="12.125" style="1" customWidth="1"/>
    <col min="9218" max="9218" width="6.25" style="1" customWidth="1"/>
    <col min="9219" max="9219" width="60.75" style="1" customWidth="1"/>
    <col min="9220" max="9220" width="17" style="1" customWidth="1"/>
    <col min="9221" max="9221" width="7.25" style="1" customWidth="1"/>
    <col min="9222" max="9222" width="7.875" style="1" customWidth="1"/>
    <col min="9223" max="9223" width="8.125" style="1" customWidth="1"/>
    <col min="9224" max="9224" width="15.25" style="1" customWidth="1"/>
    <col min="9225" max="9226" width="8.875" style="1"/>
    <col min="9227" max="9227" width="13.25" style="1" customWidth="1"/>
    <col min="9228" max="9472" width="8.875" style="1"/>
    <col min="9473" max="9473" width="12.125" style="1" customWidth="1"/>
    <col min="9474" max="9474" width="6.25" style="1" customWidth="1"/>
    <col min="9475" max="9475" width="60.75" style="1" customWidth="1"/>
    <col min="9476" max="9476" width="17" style="1" customWidth="1"/>
    <col min="9477" max="9477" width="7.25" style="1" customWidth="1"/>
    <col min="9478" max="9478" width="7.875" style="1" customWidth="1"/>
    <col min="9479" max="9479" width="8.125" style="1" customWidth="1"/>
    <col min="9480" max="9480" width="15.25" style="1" customWidth="1"/>
    <col min="9481" max="9482" width="8.875" style="1"/>
    <col min="9483" max="9483" width="13.25" style="1" customWidth="1"/>
    <col min="9484" max="9728" width="8.875" style="1"/>
    <col min="9729" max="9729" width="12.125" style="1" customWidth="1"/>
    <col min="9730" max="9730" width="6.25" style="1" customWidth="1"/>
    <col min="9731" max="9731" width="60.75" style="1" customWidth="1"/>
    <col min="9732" max="9732" width="17" style="1" customWidth="1"/>
    <col min="9733" max="9733" width="7.25" style="1" customWidth="1"/>
    <col min="9734" max="9734" width="7.875" style="1" customWidth="1"/>
    <col min="9735" max="9735" width="8.125" style="1" customWidth="1"/>
    <col min="9736" max="9736" width="15.25" style="1" customWidth="1"/>
    <col min="9737" max="9738" width="8.875" style="1"/>
    <col min="9739" max="9739" width="13.25" style="1" customWidth="1"/>
    <col min="9740" max="9984" width="8.875" style="1"/>
    <col min="9985" max="9985" width="12.125" style="1" customWidth="1"/>
    <col min="9986" max="9986" width="6.25" style="1" customWidth="1"/>
    <col min="9987" max="9987" width="60.75" style="1" customWidth="1"/>
    <col min="9988" max="9988" width="17" style="1" customWidth="1"/>
    <col min="9989" max="9989" width="7.25" style="1" customWidth="1"/>
    <col min="9990" max="9990" width="7.875" style="1" customWidth="1"/>
    <col min="9991" max="9991" width="8.125" style="1" customWidth="1"/>
    <col min="9992" max="9992" width="15.25" style="1" customWidth="1"/>
    <col min="9993" max="9994" width="8.875" style="1"/>
    <col min="9995" max="9995" width="13.25" style="1" customWidth="1"/>
    <col min="9996" max="10240" width="8.875" style="1"/>
    <col min="10241" max="10241" width="12.125" style="1" customWidth="1"/>
    <col min="10242" max="10242" width="6.25" style="1" customWidth="1"/>
    <col min="10243" max="10243" width="60.75" style="1" customWidth="1"/>
    <col min="10244" max="10244" width="17" style="1" customWidth="1"/>
    <col min="10245" max="10245" width="7.25" style="1" customWidth="1"/>
    <col min="10246" max="10246" width="7.875" style="1" customWidth="1"/>
    <col min="10247" max="10247" width="8.125" style="1" customWidth="1"/>
    <col min="10248" max="10248" width="15.25" style="1" customWidth="1"/>
    <col min="10249" max="10250" width="8.875" style="1"/>
    <col min="10251" max="10251" width="13.25" style="1" customWidth="1"/>
    <col min="10252" max="10496" width="8.875" style="1"/>
    <col min="10497" max="10497" width="12.125" style="1" customWidth="1"/>
    <col min="10498" max="10498" width="6.25" style="1" customWidth="1"/>
    <col min="10499" max="10499" width="60.75" style="1" customWidth="1"/>
    <col min="10500" max="10500" width="17" style="1" customWidth="1"/>
    <col min="10501" max="10501" width="7.25" style="1" customWidth="1"/>
    <col min="10502" max="10502" width="7.875" style="1" customWidth="1"/>
    <col min="10503" max="10503" width="8.125" style="1" customWidth="1"/>
    <col min="10504" max="10504" width="15.25" style="1" customWidth="1"/>
    <col min="10505" max="10506" width="8.875" style="1"/>
    <col min="10507" max="10507" width="13.25" style="1" customWidth="1"/>
    <col min="10508" max="10752" width="8.875" style="1"/>
    <col min="10753" max="10753" width="12.125" style="1" customWidth="1"/>
    <col min="10754" max="10754" width="6.25" style="1" customWidth="1"/>
    <col min="10755" max="10755" width="60.75" style="1" customWidth="1"/>
    <col min="10756" max="10756" width="17" style="1" customWidth="1"/>
    <col min="10757" max="10757" width="7.25" style="1" customWidth="1"/>
    <col min="10758" max="10758" width="7.875" style="1" customWidth="1"/>
    <col min="10759" max="10759" width="8.125" style="1" customWidth="1"/>
    <col min="10760" max="10760" width="15.25" style="1" customWidth="1"/>
    <col min="10761" max="10762" width="8.875" style="1"/>
    <col min="10763" max="10763" width="13.25" style="1" customWidth="1"/>
    <col min="10764" max="11008" width="8.875" style="1"/>
    <col min="11009" max="11009" width="12.125" style="1" customWidth="1"/>
    <col min="11010" max="11010" width="6.25" style="1" customWidth="1"/>
    <col min="11011" max="11011" width="60.75" style="1" customWidth="1"/>
    <col min="11012" max="11012" width="17" style="1" customWidth="1"/>
    <col min="11013" max="11013" width="7.25" style="1" customWidth="1"/>
    <col min="11014" max="11014" width="7.875" style="1" customWidth="1"/>
    <col min="11015" max="11015" width="8.125" style="1" customWidth="1"/>
    <col min="11016" max="11016" width="15.25" style="1" customWidth="1"/>
    <col min="11017" max="11018" width="8.875" style="1"/>
    <col min="11019" max="11019" width="13.25" style="1" customWidth="1"/>
    <col min="11020" max="11264" width="8.875" style="1"/>
    <col min="11265" max="11265" width="12.125" style="1" customWidth="1"/>
    <col min="11266" max="11266" width="6.25" style="1" customWidth="1"/>
    <col min="11267" max="11267" width="60.75" style="1" customWidth="1"/>
    <col min="11268" max="11268" width="17" style="1" customWidth="1"/>
    <col min="11269" max="11269" width="7.25" style="1" customWidth="1"/>
    <col min="11270" max="11270" width="7.875" style="1" customWidth="1"/>
    <col min="11271" max="11271" width="8.125" style="1" customWidth="1"/>
    <col min="11272" max="11272" width="15.25" style="1" customWidth="1"/>
    <col min="11273" max="11274" width="8.875" style="1"/>
    <col min="11275" max="11275" width="13.25" style="1" customWidth="1"/>
    <col min="11276" max="11520" width="8.875" style="1"/>
    <col min="11521" max="11521" width="12.125" style="1" customWidth="1"/>
    <col min="11522" max="11522" width="6.25" style="1" customWidth="1"/>
    <col min="11523" max="11523" width="60.75" style="1" customWidth="1"/>
    <col min="11524" max="11524" width="17" style="1" customWidth="1"/>
    <col min="11525" max="11525" width="7.25" style="1" customWidth="1"/>
    <col min="11526" max="11526" width="7.875" style="1" customWidth="1"/>
    <col min="11527" max="11527" width="8.125" style="1" customWidth="1"/>
    <col min="11528" max="11528" width="15.25" style="1" customWidth="1"/>
    <col min="11529" max="11530" width="8.875" style="1"/>
    <col min="11531" max="11531" width="13.25" style="1" customWidth="1"/>
    <col min="11532" max="11776" width="8.875" style="1"/>
    <col min="11777" max="11777" width="12.125" style="1" customWidth="1"/>
    <col min="11778" max="11778" width="6.25" style="1" customWidth="1"/>
    <col min="11779" max="11779" width="60.75" style="1" customWidth="1"/>
    <col min="11780" max="11780" width="17" style="1" customWidth="1"/>
    <col min="11781" max="11781" width="7.25" style="1" customWidth="1"/>
    <col min="11782" max="11782" width="7.875" style="1" customWidth="1"/>
    <col min="11783" max="11783" width="8.125" style="1" customWidth="1"/>
    <col min="11784" max="11784" width="15.25" style="1" customWidth="1"/>
    <col min="11785" max="11786" width="8.875" style="1"/>
    <col min="11787" max="11787" width="13.25" style="1" customWidth="1"/>
    <col min="11788" max="12032" width="8.875" style="1"/>
    <col min="12033" max="12033" width="12.125" style="1" customWidth="1"/>
    <col min="12034" max="12034" width="6.25" style="1" customWidth="1"/>
    <col min="12035" max="12035" width="60.75" style="1" customWidth="1"/>
    <col min="12036" max="12036" width="17" style="1" customWidth="1"/>
    <col min="12037" max="12037" width="7.25" style="1" customWidth="1"/>
    <col min="12038" max="12038" width="7.875" style="1" customWidth="1"/>
    <col min="12039" max="12039" width="8.125" style="1" customWidth="1"/>
    <col min="12040" max="12040" width="15.25" style="1" customWidth="1"/>
    <col min="12041" max="12042" width="8.875" style="1"/>
    <col min="12043" max="12043" width="13.25" style="1" customWidth="1"/>
    <col min="12044" max="12288" width="8.875" style="1"/>
    <col min="12289" max="12289" width="12.125" style="1" customWidth="1"/>
    <col min="12290" max="12290" width="6.25" style="1" customWidth="1"/>
    <col min="12291" max="12291" width="60.75" style="1" customWidth="1"/>
    <col min="12292" max="12292" width="17" style="1" customWidth="1"/>
    <col min="12293" max="12293" width="7.25" style="1" customWidth="1"/>
    <col min="12294" max="12294" width="7.875" style="1" customWidth="1"/>
    <col min="12295" max="12295" width="8.125" style="1" customWidth="1"/>
    <col min="12296" max="12296" width="15.25" style="1" customWidth="1"/>
    <col min="12297" max="12298" width="8.875" style="1"/>
    <col min="12299" max="12299" width="13.25" style="1" customWidth="1"/>
    <col min="12300" max="12544" width="8.875" style="1"/>
    <col min="12545" max="12545" width="12.125" style="1" customWidth="1"/>
    <col min="12546" max="12546" width="6.25" style="1" customWidth="1"/>
    <col min="12547" max="12547" width="60.75" style="1" customWidth="1"/>
    <col min="12548" max="12548" width="17" style="1" customWidth="1"/>
    <col min="12549" max="12549" width="7.25" style="1" customWidth="1"/>
    <col min="12550" max="12550" width="7.875" style="1" customWidth="1"/>
    <col min="12551" max="12551" width="8.125" style="1" customWidth="1"/>
    <col min="12552" max="12552" width="15.25" style="1" customWidth="1"/>
    <col min="12553" max="12554" width="8.875" style="1"/>
    <col min="12555" max="12555" width="13.25" style="1" customWidth="1"/>
    <col min="12556" max="12800" width="8.875" style="1"/>
    <col min="12801" max="12801" width="12.125" style="1" customWidth="1"/>
    <col min="12802" max="12802" width="6.25" style="1" customWidth="1"/>
    <col min="12803" max="12803" width="60.75" style="1" customWidth="1"/>
    <col min="12804" max="12804" width="17" style="1" customWidth="1"/>
    <col min="12805" max="12805" width="7.25" style="1" customWidth="1"/>
    <col min="12806" max="12806" width="7.875" style="1" customWidth="1"/>
    <col min="12807" max="12807" width="8.125" style="1" customWidth="1"/>
    <col min="12808" max="12808" width="15.25" style="1" customWidth="1"/>
    <col min="12809" max="12810" width="8.875" style="1"/>
    <col min="12811" max="12811" width="13.25" style="1" customWidth="1"/>
    <col min="12812" max="13056" width="8.875" style="1"/>
    <col min="13057" max="13057" width="12.125" style="1" customWidth="1"/>
    <col min="13058" max="13058" width="6.25" style="1" customWidth="1"/>
    <col min="13059" max="13059" width="60.75" style="1" customWidth="1"/>
    <col min="13060" max="13060" width="17" style="1" customWidth="1"/>
    <col min="13061" max="13061" width="7.25" style="1" customWidth="1"/>
    <col min="13062" max="13062" width="7.875" style="1" customWidth="1"/>
    <col min="13063" max="13063" width="8.125" style="1" customWidth="1"/>
    <col min="13064" max="13064" width="15.25" style="1" customWidth="1"/>
    <col min="13065" max="13066" width="8.875" style="1"/>
    <col min="13067" max="13067" width="13.25" style="1" customWidth="1"/>
    <col min="13068" max="13312" width="8.875" style="1"/>
    <col min="13313" max="13313" width="12.125" style="1" customWidth="1"/>
    <col min="13314" max="13314" width="6.25" style="1" customWidth="1"/>
    <col min="13315" max="13315" width="60.75" style="1" customWidth="1"/>
    <col min="13316" max="13316" width="17" style="1" customWidth="1"/>
    <col min="13317" max="13317" width="7.25" style="1" customWidth="1"/>
    <col min="13318" max="13318" width="7.875" style="1" customWidth="1"/>
    <col min="13319" max="13319" width="8.125" style="1" customWidth="1"/>
    <col min="13320" max="13320" width="15.25" style="1" customWidth="1"/>
    <col min="13321" max="13322" width="8.875" style="1"/>
    <col min="13323" max="13323" width="13.25" style="1" customWidth="1"/>
    <col min="13324" max="13568" width="8.875" style="1"/>
    <col min="13569" max="13569" width="12.125" style="1" customWidth="1"/>
    <col min="13570" max="13570" width="6.25" style="1" customWidth="1"/>
    <col min="13571" max="13571" width="60.75" style="1" customWidth="1"/>
    <col min="13572" max="13572" width="17" style="1" customWidth="1"/>
    <col min="13573" max="13573" width="7.25" style="1" customWidth="1"/>
    <col min="13574" max="13574" width="7.875" style="1" customWidth="1"/>
    <col min="13575" max="13575" width="8.125" style="1" customWidth="1"/>
    <col min="13576" max="13576" width="15.25" style="1" customWidth="1"/>
    <col min="13577" max="13578" width="8.875" style="1"/>
    <col min="13579" max="13579" width="13.25" style="1" customWidth="1"/>
    <col min="13580" max="13824" width="8.875" style="1"/>
    <col min="13825" max="13825" width="12.125" style="1" customWidth="1"/>
    <col min="13826" max="13826" width="6.25" style="1" customWidth="1"/>
    <col min="13827" max="13827" width="60.75" style="1" customWidth="1"/>
    <col min="13828" max="13828" width="17" style="1" customWidth="1"/>
    <col min="13829" max="13829" width="7.25" style="1" customWidth="1"/>
    <col min="13830" max="13830" width="7.875" style="1" customWidth="1"/>
    <col min="13831" max="13831" width="8.125" style="1" customWidth="1"/>
    <col min="13832" max="13832" width="15.25" style="1" customWidth="1"/>
    <col min="13833" max="13834" width="8.875" style="1"/>
    <col min="13835" max="13835" width="13.25" style="1" customWidth="1"/>
    <col min="13836" max="14080" width="8.875" style="1"/>
    <col min="14081" max="14081" width="12.125" style="1" customWidth="1"/>
    <col min="14082" max="14082" width="6.25" style="1" customWidth="1"/>
    <col min="14083" max="14083" width="60.75" style="1" customWidth="1"/>
    <col min="14084" max="14084" width="17" style="1" customWidth="1"/>
    <col min="14085" max="14085" width="7.25" style="1" customWidth="1"/>
    <col min="14086" max="14086" width="7.875" style="1" customWidth="1"/>
    <col min="14087" max="14087" width="8.125" style="1" customWidth="1"/>
    <col min="14088" max="14088" width="15.25" style="1" customWidth="1"/>
    <col min="14089" max="14090" width="8.875" style="1"/>
    <col min="14091" max="14091" width="13.25" style="1" customWidth="1"/>
    <col min="14092" max="14336" width="8.875" style="1"/>
    <col min="14337" max="14337" width="12.125" style="1" customWidth="1"/>
    <col min="14338" max="14338" width="6.25" style="1" customWidth="1"/>
    <col min="14339" max="14339" width="60.75" style="1" customWidth="1"/>
    <col min="14340" max="14340" width="17" style="1" customWidth="1"/>
    <col min="14341" max="14341" width="7.25" style="1" customWidth="1"/>
    <col min="14342" max="14342" width="7.875" style="1" customWidth="1"/>
    <col min="14343" max="14343" width="8.125" style="1" customWidth="1"/>
    <col min="14344" max="14344" width="15.25" style="1" customWidth="1"/>
    <col min="14345" max="14346" width="8.875" style="1"/>
    <col min="14347" max="14347" width="13.25" style="1" customWidth="1"/>
    <col min="14348" max="14592" width="8.875" style="1"/>
    <col min="14593" max="14593" width="12.125" style="1" customWidth="1"/>
    <col min="14594" max="14594" width="6.25" style="1" customWidth="1"/>
    <col min="14595" max="14595" width="60.75" style="1" customWidth="1"/>
    <col min="14596" max="14596" width="17" style="1" customWidth="1"/>
    <col min="14597" max="14597" width="7.25" style="1" customWidth="1"/>
    <col min="14598" max="14598" width="7.875" style="1" customWidth="1"/>
    <col min="14599" max="14599" width="8.125" style="1" customWidth="1"/>
    <col min="14600" max="14600" width="15.25" style="1" customWidth="1"/>
    <col min="14601" max="14602" width="8.875" style="1"/>
    <col min="14603" max="14603" width="13.25" style="1" customWidth="1"/>
    <col min="14604" max="14848" width="8.875" style="1"/>
    <col min="14849" max="14849" width="12.125" style="1" customWidth="1"/>
    <col min="14850" max="14850" width="6.25" style="1" customWidth="1"/>
    <col min="14851" max="14851" width="60.75" style="1" customWidth="1"/>
    <col min="14852" max="14852" width="17" style="1" customWidth="1"/>
    <col min="14853" max="14853" width="7.25" style="1" customWidth="1"/>
    <col min="14854" max="14854" width="7.875" style="1" customWidth="1"/>
    <col min="14855" max="14855" width="8.125" style="1" customWidth="1"/>
    <col min="14856" max="14856" width="15.25" style="1" customWidth="1"/>
    <col min="14857" max="14858" width="8.875" style="1"/>
    <col min="14859" max="14859" width="13.25" style="1" customWidth="1"/>
    <col min="14860" max="15104" width="8.875" style="1"/>
    <col min="15105" max="15105" width="12.125" style="1" customWidth="1"/>
    <col min="15106" max="15106" width="6.25" style="1" customWidth="1"/>
    <col min="15107" max="15107" width="60.75" style="1" customWidth="1"/>
    <col min="15108" max="15108" width="17" style="1" customWidth="1"/>
    <col min="15109" max="15109" width="7.25" style="1" customWidth="1"/>
    <col min="15110" max="15110" width="7.875" style="1" customWidth="1"/>
    <col min="15111" max="15111" width="8.125" style="1" customWidth="1"/>
    <col min="15112" max="15112" width="15.25" style="1" customWidth="1"/>
    <col min="15113" max="15114" width="8.875" style="1"/>
    <col min="15115" max="15115" width="13.25" style="1" customWidth="1"/>
    <col min="15116" max="15360" width="8.875" style="1"/>
    <col min="15361" max="15361" width="12.125" style="1" customWidth="1"/>
    <col min="15362" max="15362" width="6.25" style="1" customWidth="1"/>
    <col min="15363" max="15363" width="60.75" style="1" customWidth="1"/>
    <col min="15364" max="15364" width="17" style="1" customWidth="1"/>
    <col min="15365" max="15365" width="7.25" style="1" customWidth="1"/>
    <col min="15366" max="15366" width="7.875" style="1" customWidth="1"/>
    <col min="15367" max="15367" width="8.125" style="1" customWidth="1"/>
    <col min="15368" max="15368" width="15.25" style="1" customWidth="1"/>
    <col min="15369" max="15370" width="8.875" style="1"/>
    <col min="15371" max="15371" width="13.25" style="1" customWidth="1"/>
    <col min="15372" max="15616" width="8.875" style="1"/>
    <col min="15617" max="15617" width="12.125" style="1" customWidth="1"/>
    <col min="15618" max="15618" width="6.25" style="1" customWidth="1"/>
    <col min="15619" max="15619" width="60.75" style="1" customWidth="1"/>
    <col min="15620" max="15620" width="17" style="1" customWidth="1"/>
    <col min="15621" max="15621" width="7.25" style="1" customWidth="1"/>
    <col min="15622" max="15622" width="7.875" style="1" customWidth="1"/>
    <col min="15623" max="15623" width="8.125" style="1" customWidth="1"/>
    <col min="15624" max="15624" width="15.25" style="1" customWidth="1"/>
    <col min="15625" max="15626" width="8.875" style="1"/>
    <col min="15627" max="15627" width="13.25" style="1" customWidth="1"/>
    <col min="15628" max="15872" width="8.875" style="1"/>
    <col min="15873" max="15873" width="12.125" style="1" customWidth="1"/>
    <col min="15874" max="15874" width="6.25" style="1" customWidth="1"/>
    <col min="15875" max="15875" width="60.75" style="1" customWidth="1"/>
    <col min="15876" max="15876" width="17" style="1" customWidth="1"/>
    <col min="15877" max="15877" width="7.25" style="1" customWidth="1"/>
    <col min="15878" max="15878" width="7.875" style="1" customWidth="1"/>
    <col min="15879" max="15879" width="8.125" style="1" customWidth="1"/>
    <col min="15880" max="15880" width="15.25" style="1" customWidth="1"/>
    <col min="15881" max="15882" width="8.875" style="1"/>
    <col min="15883" max="15883" width="13.25" style="1" customWidth="1"/>
    <col min="15884" max="16128" width="8.875" style="1"/>
    <col min="16129" max="16129" width="12.125" style="1" customWidth="1"/>
    <col min="16130" max="16130" width="6.25" style="1" customWidth="1"/>
    <col min="16131" max="16131" width="60.75" style="1" customWidth="1"/>
    <col min="16132" max="16132" width="17" style="1" customWidth="1"/>
    <col min="16133" max="16133" width="7.25" style="1" customWidth="1"/>
    <col min="16134" max="16134" width="7.875" style="1" customWidth="1"/>
    <col min="16135" max="16135" width="8.125" style="1" customWidth="1"/>
    <col min="16136" max="16136" width="15.25" style="1" customWidth="1"/>
    <col min="16137" max="16138" width="8.875" style="1"/>
    <col min="16139" max="16139" width="13.25" style="1" customWidth="1"/>
    <col min="16140" max="16384" width="8.875" style="1"/>
  </cols>
  <sheetData>
    <row r="1" spans="1:8" ht="27.75" customHeight="1">
      <c r="A1" s="1383" t="s">
        <v>1026</v>
      </c>
      <c r="B1" s="1384"/>
      <c r="C1" s="1384"/>
      <c r="D1" s="1384"/>
      <c r="E1" s="1384"/>
      <c r="F1" s="1384"/>
      <c r="G1" s="1384"/>
      <c r="H1" s="1385"/>
    </row>
    <row r="2" spans="1:8" ht="5.25" customHeight="1">
      <c r="A2" s="1377" t="s">
        <v>992</v>
      </c>
      <c r="B2" s="1378"/>
      <c r="C2" s="1378"/>
      <c r="D2" s="1378"/>
      <c r="E2" s="1378"/>
      <c r="F2" s="1378"/>
      <c r="G2" s="1378"/>
      <c r="H2" s="1379"/>
    </row>
    <row r="3" spans="1:8" ht="42" customHeight="1">
      <c r="A3" s="1380"/>
      <c r="B3" s="1381"/>
      <c r="C3" s="1381"/>
      <c r="D3" s="1381"/>
      <c r="E3" s="1381"/>
      <c r="F3" s="1381"/>
      <c r="G3" s="1381"/>
      <c r="H3" s="1382"/>
    </row>
    <row r="4" spans="1:8" ht="25.5" customHeight="1">
      <c r="A4" s="219"/>
      <c r="B4" s="1157"/>
      <c r="C4" s="219"/>
      <c r="D4" s="219"/>
      <c r="E4" s="219"/>
      <c r="F4" s="219"/>
      <c r="G4" s="219"/>
      <c r="H4" s="219"/>
    </row>
    <row r="5" spans="1:8" ht="20.25" customHeight="1">
      <c r="A5" s="2" t="s">
        <v>6</v>
      </c>
      <c r="B5" s="1136"/>
      <c r="C5" s="2"/>
      <c r="D5" s="3" t="s">
        <v>78</v>
      </c>
      <c r="E5" s="4" t="s">
        <v>79</v>
      </c>
      <c r="F5" s="1372" t="s">
        <v>80</v>
      </c>
      <c r="G5" s="1373"/>
      <c r="H5" s="4" t="s">
        <v>81</v>
      </c>
    </row>
    <row r="6" spans="1:8" ht="20.25" customHeight="1">
      <c r="A6" s="5"/>
      <c r="B6" s="1136"/>
      <c r="C6" s="5"/>
      <c r="D6" s="3" t="s">
        <v>83</v>
      </c>
      <c r="E6" s="6" t="s">
        <v>84</v>
      </c>
      <c r="F6" s="6" t="s">
        <v>85</v>
      </c>
      <c r="G6" s="6" t="s">
        <v>86</v>
      </c>
      <c r="H6" s="6" t="s">
        <v>2</v>
      </c>
    </row>
    <row r="7" spans="1:8" ht="20.25" customHeight="1">
      <c r="A7" s="2" t="s">
        <v>87</v>
      </c>
      <c r="B7" s="1136"/>
      <c r="C7" s="5"/>
      <c r="D7" s="7"/>
      <c r="E7" s="6"/>
      <c r="F7" s="6"/>
      <c r="G7" s="6"/>
      <c r="H7" s="5"/>
    </row>
    <row r="8" spans="1:8" ht="20.25" customHeight="1">
      <c r="A8" s="2" t="s">
        <v>1697</v>
      </c>
      <c r="B8" s="1136"/>
      <c r="C8" s="5"/>
      <c r="D8" s="7"/>
      <c r="E8" s="6"/>
      <c r="F8" s="6"/>
      <c r="G8" s="6"/>
      <c r="H8" s="5"/>
    </row>
    <row r="9" spans="1:8" ht="20.25" customHeight="1">
      <c r="A9" s="5"/>
      <c r="B9" s="1136">
        <v>1</v>
      </c>
      <c r="C9" s="5" t="s">
        <v>1698</v>
      </c>
      <c r="D9" s="7">
        <v>60000</v>
      </c>
      <c r="E9" s="6">
        <v>1</v>
      </c>
      <c r="F9" s="6">
        <v>9</v>
      </c>
      <c r="G9" s="6"/>
      <c r="H9" s="8">
        <f>D9*E9*F9</f>
        <v>540000</v>
      </c>
    </row>
    <row r="10" spans="1:8" ht="36" customHeight="1">
      <c r="A10" s="5"/>
      <c r="B10" s="1136"/>
      <c r="C10" s="10" t="s">
        <v>89</v>
      </c>
      <c r="D10" s="7"/>
      <c r="E10" s="6"/>
      <c r="F10" s="6"/>
      <c r="G10" s="6"/>
      <c r="H10" s="8"/>
    </row>
    <row r="11" spans="1:8" ht="38.25" customHeight="1">
      <c r="A11" s="5"/>
      <c r="B11" s="1136">
        <v>2</v>
      </c>
      <c r="C11" s="10" t="s">
        <v>1699</v>
      </c>
      <c r="D11" s="7">
        <v>50000</v>
      </c>
      <c r="E11" s="6">
        <v>2</v>
      </c>
      <c r="F11" s="6">
        <v>9</v>
      </c>
      <c r="G11" s="6"/>
      <c r="H11" s="8">
        <f>D11*E11*F11</f>
        <v>900000</v>
      </c>
    </row>
    <row r="12" spans="1:8" ht="37.9" customHeight="1">
      <c r="A12" s="5"/>
      <c r="B12" s="1136"/>
      <c r="C12" s="10" t="s">
        <v>91</v>
      </c>
      <c r="D12" s="7"/>
      <c r="E12" s="6"/>
      <c r="F12" s="6"/>
      <c r="G12" s="6"/>
      <c r="H12" s="8"/>
    </row>
    <row r="13" spans="1:8" ht="20.25" customHeight="1">
      <c r="A13" s="5"/>
      <c r="B13" s="1136">
        <v>3</v>
      </c>
      <c r="C13" s="5" t="s">
        <v>1700</v>
      </c>
      <c r="D13" s="7">
        <v>50000</v>
      </c>
      <c r="E13" s="6">
        <v>2</v>
      </c>
      <c r="F13" s="6">
        <v>6</v>
      </c>
      <c r="G13" s="6"/>
      <c r="H13" s="8">
        <f>D13*E13*F13</f>
        <v>600000</v>
      </c>
    </row>
    <row r="14" spans="1:8" ht="36" customHeight="1">
      <c r="A14" s="5"/>
      <c r="B14" s="1136"/>
      <c r="C14" s="10" t="s">
        <v>91</v>
      </c>
      <c r="D14" s="7"/>
      <c r="E14" s="6"/>
      <c r="F14" s="6"/>
      <c r="G14" s="6"/>
      <c r="H14" s="8"/>
    </row>
    <row r="15" spans="1:8" ht="20.25" customHeight="1">
      <c r="A15" s="5"/>
      <c r="B15" s="1136">
        <v>4</v>
      </c>
      <c r="C15" s="5" t="s">
        <v>92</v>
      </c>
      <c r="D15" s="7">
        <v>35000</v>
      </c>
      <c r="E15" s="6">
        <v>2</v>
      </c>
      <c r="F15" s="6">
        <v>6</v>
      </c>
      <c r="G15" s="6"/>
      <c r="H15" s="8">
        <f>D15*E15*F15</f>
        <v>420000</v>
      </c>
    </row>
    <row r="16" spans="1:8" ht="20.25" customHeight="1">
      <c r="A16" s="5"/>
      <c r="B16" s="1136"/>
      <c r="C16" s="11" t="s">
        <v>111</v>
      </c>
      <c r="D16" s="7"/>
      <c r="E16" s="6"/>
      <c r="F16" s="6"/>
      <c r="G16" s="6"/>
      <c r="H16" s="8"/>
    </row>
    <row r="17" spans="1:11" ht="20.25" customHeight="1">
      <c r="A17" s="5"/>
      <c r="B17" s="1136">
        <v>5</v>
      </c>
      <c r="C17" s="5" t="s">
        <v>94</v>
      </c>
      <c r="D17" s="7">
        <v>35000</v>
      </c>
      <c r="E17" s="6">
        <v>2</v>
      </c>
      <c r="F17" s="6">
        <v>6</v>
      </c>
      <c r="G17" s="6"/>
      <c r="H17" s="8">
        <f>D17*E17*F17</f>
        <v>420000</v>
      </c>
    </row>
    <row r="18" spans="1:11" ht="20.25" customHeight="1">
      <c r="A18" s="5"/>
      <c r="B18" s="1136"/>
      <c r="C18" s="12" t="s">
        <v>112</v>
      </c>
      <c r="D18" s="7"/>
      <c r="E18" s="6"/>
      <c r="F18" s="6"/>
      <c r="G18" s="6"/>
      <c r="H18" s="8"/>
    </row>
    <row r="19" spans="1:11" ht="20.25" customHeight="1">
      <c r="A19" s="5"/>
      <c r="B19" s="1136">
        <v>6</v>
      </c>
      <c r="C19" s="5" t="s">
        <v>113</v>
      </c>
      <c r="D19" s="7">
        <v>35000</v>
      </c>
      <c r="E19" s="6">
        <v>1</v>
      </c>
      <c r="F19" s="6">
        <v>4</v>
      </c>
      <c r="G19" s="6"/>
      <c r="H19" s="8">
        <f>D19*E19*F19</f>
        <v>140000</v>
      </c>
    </row>
    <row r="20" spans="1:11" ht="20.25" customHeight="1">
      <c r="A20" s="5"/>
      <c r="B20" s="1136">
        <v>7</v>
      </c>
      <c r="C20" s="12" t="s">
        <v>96</v>
      </c>
      <c r="D20" s="7">
        <v>25000</v>
      </c>
      <c r="E20" s="6">
        <v>4</v>
      </c>
      <c r="F20" s="6">
        <v>4</v>
      </c>
      <c r="G20" s="6"/>
      <c r="H20" s="8">
        <f>D20*E20*F20</f>
        <v>400000</v>
      </c>
    </row>
    <row r="21" spans="1:11" ht="20.25" customHeight="1">
      <c r="A21" s="5"/>
      <c r="B21" s="1136"/>
      <c r="C21" s="12" t="s">
        <v>114</v>
      </c>
      <c r="D21" s="7"/>
      <c r="E21" s="6"/>
      <c r="F21" s="6"/>
      <c r="G21" s="6"/>
      <c r="H21" s="8"/>
    </row>
    <row r="22" spans="1:11" ht="20.25" customHeight="1">
      <c r="A22" s="5"/>
      <c r="B22" s="1136"/>
      <c r="C22" s="12" t="s">
        <v>115</v>
      </c>
      <c r="D22" s="7"/>
      <c r="E22" s="6"/>
      <c r="F22" s="6"/>
      <c r="G22" s="6"/>
      <c r="H22" s="8"/>
    </row>
    <row r="23" spans="1:11" ht="20.25" customHeight="1">
      <c r="A23" s="2" t="s">
        <v>1731</v>
      </c>
      <c r="B23" s="1136"/>
      <c r="C23" s="5"/>
      <c r="D23" s="7"/>
      <c r="E23" s="6"/>
      <c r="F23" s="6"/>
      <c r="G23" s="6"/>
      <c r="H23" s="8"/>
    </row>
    <row r="24" spans="1:11" ht="20.25" customHeight="1">
      <c r="A24" s="5"/>
      <c r="B24" s="1136">
        <v>8</v>
      </c>
      <c r="C24" s="5" t="s">
        <v>9</v>
      </c>
      <c r="D24" s="7">
        <v>20000</v>
      </c>
      <c r="E24" s="6">
        <v>1</v>
      </c>
      <c r="F24" s="14">
        <v>9</v>
      </c>
      <c r="G24" s="14"/>
      <c r="H24" s="8">
        <f>D24*E24*F24</f>
        <v>180000</v>
      </c>
      <c r="K24" s="15"/>
    </row>
    <row r="25" spans="1:11" ht="20.25" customHeight="1">
      <c r="A25" s="5"/>
      <c r="B25" s="1136"/>
      <c r="C25" s="5"/>
      <c r="D25" s="7"/>
      <c r="E25" s="6"/>
      <c r="F25" s="14"/>
      <c r="G25" s="14"/>
      <c r="H25" s="16">
        <f>SUM(H9:H24)</f>
        <v>3600000</v>
      </c>
      <c r="K25" s="15"/>
    </row>
    <row r="26" spans="1:11" ht="55.5" customHeight="1">
      <c r="A26" s="1386" t="s">
        <v>1732</v>
      </c>
      <c r="B26" s="1136">
        <v>9</v>
      </c>
      <c r="C26" s="828" t="s">
        <v>1701</v>
      </c>
      <c r="D26" s="3"/>
      <c r="E26" s="4"/>
      <c r="F26" s="4"/>
      <c r="G26" s="4"/>
      <c r="H26" s="821"/>
      <c r="K26" s="9"/>
    </row>
    <row r="27" spans="1:11" ht="54" customHeight="1">
      <c r="A27" s="1387"/>
      <c r="B27" s="1136"/>
      <c r="C27" s="10" t="s">
        <v>1703</v>
      </c>
      <c r="D27" s="7"/>
      <c r="E27" s="6"/>
      <c r="F27" s="6"/>
      <c r="G27" s="6"/>
      <c r="H27" s="8"/>
      <c r="K27" s="9"/>
    </row>
    <row r="28" spans="1:11" ht="20.25" customHeight="1">
      <c r="A28" s="2"/>
      <c r="B28" s="1136"/>
      <c r="C28" s="17" t="s">
        <v>116</v>
      </c>
      <c r="D28" s="7">
        <v>90000</v>
      </c>
      <c r="E28" s="6">
        <v>1</v>
      </c>
      <c r="F28" s="6"/>
      <c r="G28" s="6"/>
      <c r="H28" s="8">
        <f>D28*E28</f>
        <v>90000</v>
      </c>
      <c r="K28" s="9"/>
    </row>
    <row r="29" spans="1:11" ht="20.25" customHeight="1">
      <c r="A29" s="2"/>
      <c r="B29" s="1136"/>
      <c r="C29" s="17" t="s">
        <v>117</v>
      </c>
      <c r="D29" s="7">
        <v>500</v>
      </c>
      <c r="E29" s="6">
        <v>100</v>
      </c>
      <c r="F29" s="6" t="s">
        <v>118</v>
      </c>
      <c r="G29" s="6"/>
      <c r="H29" s="8">
        <v>50000</v>
      </c>
      <c r="K29" s="9"/>
    </row>
    <row r="30" spans="1:11" ht="20.25" customHeight="1">
      <c r="A30" s="2"/>
      <c r="B30" s="1136"/>
      <c r="C30" s="17" t="s">
        <v>119</v>
      </c>
      <c r="D30" s="7">
        <v>50</v>
      </c>
      <c r="E30" s="6">
        <v>100</v>
      </c>
      <c r="F30" s="6" t="s">
        <v>120</v>
      </c>
      <c r="G30" s="6"/>
      <c r="H30" s="8">
        <f>100*50*2</f>
        <v>10000</v>
      </c>
      <c r="K30" s="9"/>
    </row>
    <row r="31" spans="1:11" ht="20.25" customHeight="1">
      <c r="A31" s="2"/>
      <c r="B31" s="1136"/>
      <c r="C31" s="17" t="s">
        <v>1704</v>
      </c>
      <c r="D31" s="7">
        <v>100</v>
      </c>
      <c r="E31" s="6">
        <v>100</v>
      </c>
      <c r="F31" s="6"/>
      <c r="G31" s="6"/>
      <c r="H31" s="8">
        <f>D31*E31</f>
        <v>10000</v>
      </c>
      <c r="K31" s="9"/>
    </row>
    <row r="32" spans="1:11" ht="20.25" customHeight="1">
      <c r="A32" s="2"/>
      <c r="B32" s="1136"/>
      <c r="C32" s="17"/>
      <c r="D32" s="7"/>
      <c r="E32" s="6"/>
      <c r="F32" s="6"/>
      <c r="G32" s="6"/>
      <c r="H32" s="18">
        <f>SUM(H28:H31)</f>
        <v>160000</v>
      </c>
      <c r="K32" s="9"/>
    </row>
    <row r="33" spans="1:11" ht="20.25" customHeight="1">
      <c r="A33" s="2"/>
      <c r="B33" s="1136"/>
      <c r="C33" s="5" t="s">
        <v>1702</v>
      </c>
      <c r="D33" s="7"/>
      <c r="E33" s="6"/>
      <c r="F33" s="6"/>
      <c r="G33" s="6"/>
      <c r="H33" s="8"/>
      <c r="K33" s="9"/>
    </row>
    <row r="34" spans="1:11" ht="20.25" customHeight="1">
      <c r="A34" s="2"/>
      <c r="B34" s="1136"/>
      <c r="C34" s="17" t="s">
        <v>116</v>
      </c>
      <c r="D34" s="7">
        <v>90000</v>
      </c>
      <c r="E34" s="6">
        <v>1</v>
      </c>
      <c r="F34" s="6"/>
      <c r="G34" s="6"/>
      <c r="H34" s="8">
        <f>D34*E34</f>
        <v>90000</v>
      </c>
      <c r="K34" s="9"/>
    </row>
    <row r="35" spans="1:11" ht="20.25" customHeight="1">
      <c r="A35" s="2"/>
      <c r="B35" s="1136"/>
      <c r="C35" s="17" t="s">
        <v>117</v>
      </c>
      <c r="D35" s="7">
        <v>500</v>
      </c>
      <c r="E35" s="6">
        <v>100</v>
      </c>
      <c r="F35" s="6" t="s">
        <v>118</v>
      </c>
      <c r="G35" s="6"/>
      <c r="H35" s="8">
        <v>50000</v>
      </c>
      <c r="K35" s="9"/>
    </row>
    <row r="36" spans="1:11" ht="20.25" customHeight="1">
      <c r="A36" s="2"/>
      <c r="B36" s="1136"/>
      <c r="C36" s="17" t="s">
        <v>119</v>
      </c>
      <c r="D36" s="7">
        <v>50</v>
      </c>
      <c r="E36" s="6">
        <v>100</v>
      </c>
      <c r="F36" s="6" t="s">
        <v>120</v>
      </c>
      <c r="G36" s="6"/>
      <c r="H36" s="8">
        <f>100*50*2</f>
        <v>10000</v>
      </c>
      <c r="K36" s="9"/>
    </row>
    <row r="37" spans="1:11" ht="20.25" customHeight="1">
      <c r="A37" s="2"/>
      <c r="B37" s="1136"/>
      <c r="C37" s="17" t="s">
        <v>1704</v>
      </c>
      <c r="D37" s="7">
        <v>100</v>
      </c>
      <c r="E37" s="6">
        <v>100</v>
      </c>
      <c r="F37" s="6"/>
      <c r="G37" s="6"/>
      <c r="H37" s="8">
        <f>D37*E37</f>
        <v>10000</v>
      </c>
      <c r="K37" s="9"/>
    </row>
    <row r="38" spans="1:11" ht="20.25" customHeight="1">
      <c r="A38" s="2"/>
      <c r="B38" s="1136"/>
      <c r="C38" s="17"/>
      <c r="D38" s="7"/>
      <c r="E38" s="6"/>
      <c r="F38" s="6"/>
      <c r="G38" s="6"/>
      <c r="H38" s="18">
        <f>SUM(H34:H37)</f>
        <v>160000</v>
      </c>
      <c r="K38" s="9"/>
    </row>
    <row r="39" spans="1:11" ht="36.75" customHeight="1">
      <c r="A39" s="5"/>
      <c r="B39" s="1136">
        <v>10</v>
      </c>
      <c r="C39" s="828" t="s">
        <v>1705</v>
      </c>
      <c r="D39" s="7"/>
      <c r="E39" s="6"/>
      <c r="F39" s="14"/>
      <c r="G39" s="14"/>
      <c r="H39" s="8"/>
      <c r="K39" s="9"/>
    </row>
    <row r="40" spans="1:11" ht="39" customHeight="1">
      <c r="A40" s="5"/>
      <c r="B40" s="1136"/>
      <c r="C40" s="1135" t="s">
        <v>1729</v>
      </c>
      <c r="D40" s="7">
        <v>1000</v>
      </c>
      <c r="E40" s="6">
        <v>5</v>
      </c>
      <c r="F40" s="14"/>
      <c r="G40" s="14">
        <v>60</v>
      </c>
      <c r="H40" s="8">
        <f>D40*E40*G40</f>
        <v>300000</v>
      </c>
    </row>
    <row r="41" spans="1:11" ht="20.25" customHeight="1">
      <c r="A41" s="5"/>
      <c r="B41" s="1136"/>
      <c r="C41" s="17" t="s">
        <v>1695</v>
      </c>
      <c r="D41" s="7">
        <v>1200</v>
      </c>
      <c r="E41" s="6">
        <v>5</v>
      </c>
      <c r="F41" s="14"/>
      <c r="G41" s="14">
        <v>50</v>
      </c>
      <c r="H41" s="8">
        <f>D41*E41*G41</f>
        <v>300000</v>
      </c>
    </row>
    <row r="42" spans="1:11" ht="20.25" customHeight="1">
      <c r="A42" s="5"/>
      <c r="B42" s="1136"/>
      <c r="C42" s="17" t="s">
        <v>122</v>
      </c>
      <c r="D42" s="7">
        <v>2250</v>
      </c>
      <c r="E42" s="6">
        <v>1</v>
      </c>
      <c r="F42" s="14"/>
      <c r="G42" s="14">
        <v>60</v>
      </c>
      <c r="H42" s="8">
        <f>D42*G42</f>
        <v>135000</v>
      </c>
    </row>
    <row r="43" spans="1:11" ht="39" customHeight="1">
      <c r="A43" s="5"/>
      <c r="B43" s="1136"/>
      <c r="C43" s="1314" t="s">
        <v>1810</v>
      </c>
      <c r="D43" s="19">
        <v>5000</v>
      </c>
      <c r="E43" s="20">
        <v>56</v>
      </c>
      <c r="F43" s="21"/>
      <c r="G43" s="14"/>
      <c r="H43" s="1137">
        <f>D43*E43</f>
        <v>280000</v>
      </c>
    </row>
    <row r="44" spans="1:11" ht="20.25" customHeight="1">
      <c r="A44" s="5"/>
      <c r="B44" s="1136"/>
      <c r="C44" s="17"/>
      <c r="D44" s="7"/>
      <c r="E44" s="6"/>
      <c r="F44" s="14"/>
      <c r="G44" s="14"/>
      <c r="H44" s="8"/>
    </row>
    <row r="45" spans="1:11" ht="20.25" customHeight="1">
      <c r="A45" s="5"/>
      <c r="B45" s="1136"/>
      <c r="C45" s="5"/>
      <c r="D45" s="7"/>
      <c r="E45" s="6"/>
      <c r="F45" s="14"/>
      <c r="G45" s="14"/>
      <c r="H45" s="16">
        <f>SUM(H40:H42)</f>
        <v>735000</v>
      </c>
    </row>
    <row r="46" spans="1:11" ht="40.5" customHeight="1">
      <c r="A46" s="5"/>
      <c r="B46" s="1136">
        <v>11</v>
      </c>
      <c r="C46" s="828" t="s">
        <v>1730</v>
      </c>
      <c r="D46" s="829"/>
      <c r="E46" s="830"/>
      <c r="F46" s="21"/>
      <c r="G46" s="14"/>
      <c r="H46" s="16">
        <v>280000</v>
      </c>
    </row>
    <row r="47" spans="1:11" ht="38.25" customHeight="1">
      <c r="A47" s="5"/>
      <c r="B47" s="1136"/>
      <c r="C47" s="1314" t="s">
        <v>1810</v>
      </c>
      <c r="D47" s="19">
        <v>5000</v>
      </c>
      <c r="E47" s="20">
        <v>56</v>
      </c>
      <c r="F47" s="21"/>
      <c r="G47" s="14"/>
      <c r="H47" s="1137">
        <f>D47*E47</f>
        <v>280000</v>
      </c>
    </row>
    <row r="48" spans="1:11" ht="21.75" customHeight="1">
      <c r="A48" s="5"/>
      <c r="B48" s="1136"/>
      <c r="C48" s="10"/>
      <c r="D48" s="829"/>
      <c r="E48" s="830"/>
      <c r="F48" s="21"/>
      <c r="G48" s="14"/>
      <c r="H48" s="16"/>
    </row>
    <row r="49" spans="1:13" ht="20.25" customHeight="1">
      <c r="A49" s="5"/>
      <c r="B49" s="1136">
        <v>12</v>
      </c>
      <c r="C49" s="2" t="s">
        <v>100</v>
      </c>
      <c r="D49" s="19"/>
      <c r="E49" s="20"/>
      <c r="F49" s="20"/>
      <c r="G49" s="6"/>
      <c r="H49" s="8"/>
    </row>
    <row r="50" spans="1:13" ht="20.25" customHeight="1">
      <c r="A50" s="5"/>
      <c r="B50" s="1136"/>
      <c r="C50" s="22" t="s">
        <v>101</v>
      </c>
      <c r="D50" s="23">
        <v>500</v>
      </c>
      <c r="E50" s="24" t="s">
        <v>102</v>
      </c>
      <c r="F50" s="6"/>
      <c r="G50" s="25"/>
      <c r="H50" s="8">
        <f>D50*10</f>
        <v>5000</v>
      </c>
      <c r="M50" s="26"/>
    </row>
    <row r="51" spans="1:13" ht="20.25" customHeight="1">
      <c r="A51" s="5"/>
      <c r="B51" s="1136"/>
      <c r="C51" s="22" t="s">
        <v>103</v>
      </c>
      <c r="D51" s="23">
        <v>800</v>
      </c>
      <c r="E51" s="24" t="s">
        <v>102</v>
      </c>
      <c r="F51" s="6"/>
      <c r="G51" s="25"/>
      <c r="H51" s="8">
        <f>D51*10</f>
        <v>8000</v>
      </c>
      <c r="M51" s="26"/>
    </row>
    <row r="52" spans="1:13" ht="20.25" customHeight="1">
      <c r="A52" s="5"/>
      <c r="B52" s="1136"/>
      <c r="C52" s="22" t="s">
        <v>104</v>
      </c>
      <c r="D52" s="23">
        <v>900</v>
      </c>
      <c r="E52" s="24" t="s">
        <v>102</v>
      </c>
      <c r="F52" s="6"/>
      <c r="G52" s="25"/>
      <c r="H52" s="8">
        <f>D52*10</f>
        <v>9000</v>
      </c>
      <c r="M52" s="26"/>
    </row>
    <row r="53" spans="1:13" ht="20.25" customHeight="1">
      <c r="A53" s="5"/>
      <c r="B53" s="1136"/>
      <c r="C53" s="22" t="s">
        <v>106</v>
      </c>
      <c r="D53" s="23">
        <v>1000</v>
      </c>
      <c r="E53" s="24" t="s">
        <v>123</v>
      </c>
      <c r="F53" s="6"/>
      <c r="G53" s="25"/>
      <c r="H53" s="8">
        <f>D53*15</f>
        <v>15000</v>
      </c>
      <c r="M53" s="26"/>
    </row>
    <row r="54" spans="1:13" ht="20.25" customHeight="1">
      <c r="A54" s="5"/>
      <c r="B54" s="1136"/>
      <c r="C54" s="22"/>
      <c r="D54" s="23"/>
      <c r="E54" s="24"/>
      <c r="F54" s="6"/>
      <c r="G54" s="25"/>
      <c r="H54" s="16">
        <f>SUM(H50:H53)</f>
        <v>37000</v>
      </c>
      <c r="M54" s="26"/>
    </row>
    <row r="55" spans="1:13" ht="20.25" customHeight="1">
      <c r="A55" s="5"/>
      <c r="B55" s="1158">
        <v>13</v>
      </c>
      <c r="C55" s="22" t="s">
        <v>108</v>
      </c>
      <c r="D55" s="23"/>
      <c r="E55" s="24"/>
      <c r="F55" s="6"/>
      <c r="G55" s="25"/>
      <c r="H55" s="16">
        <v>28000</v>
      </c>
      <c r="M55" s="26"/>
    </row>
    <row r="56" spans="1:13" ht="20.25" customHeight="1">
      <c r="A56" s="5"/>
      <c r="B56" s="1136"/>
      <c r="C56" s="27" t="s">
        <v>109</v>
      </c>
      <c r="D56" s="23"/>
      <c r="E56" s="24"/>
      <c r="F56" s="6"/>
      <c r="G56" s="25"/>
      <c r="H56" s="16">
        <f>H25+H32+H38+H45+H46+H54+H55</f>
        <v>5000000</v>
      </c>
      <c r="K56" s="28"/>
      <c r="M56" s="26"/>
    </row>
    <row r="57" spans="1:13" ht="20.25" customHeight="1">
      <c r="A57" s="5"/>
      <c r="B57" s="1136"/>
      <c r="C57" s="2"/>
      <c r="D57" s="3"/>
      <c r="E57" s="4"/>
      <c r="F57" s="4"/>
      <c r="G57" s="4"/>
      <c r="H57" s="29"/>
      <c r="K57" s="30"/>
    </row>
    <row r="58" spans="1:13">
      <c r="C58" s="31" t="s">
        <v>124</v>
      </c>
      <c r="K58" s="30"/>
    </row>
    <row r="59" spans="1:13">
      <c r="D59" s="34"/>
    </row>
    <row r="60" spans="1:13">
      <c r="D60" s="34"/>
    </row>
    <row r="61" spans="1:13">
      <c r="D61" s="34"/>
      <c r="E61" s="33" t="s">
        <v>110</v>
      </c>
    </row>
  </sheetData>
  <mergeCells count="4">
    <mergeCell ref="F5:G5"/>
    <mergeCell ref="A2:H3"/>
    <mergeCell ref="A1:H1"/>
    <mergeCell ref="A26:A27"/>
  </mergeCells>
  <pageMargins left="0.7" right="0.2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56"/>
  <sheetViews>
    <sheetView workbookViewId="0"/>
  </sheetViews>
  <sheetFormatPr defaultColWidth="9.125" defaultRowHeight="21"/>
  <cols>
    <col min="1" max="1" width="5.875" style="905" customWidth="1"/>
    <col min="2" max="2" width="86.625" style="905" customWidth="1"/>
    <col min="3" max="3" width="15.375" style="929" customWidth="1"/>
    <col min="4" max="256" width="9.125" style="905"/>
    <col min="257" max="257" width="5.875" style="905" customWidth="1"/>
    <col min="258" max="258" width="86.625" style="905" customWidth="1"/>
    <col min="259" max="259" width="15.375" style="905" customWidth="1"/>
    <col min="260" max="512" width="9.125" style="905"/>
    <col min="513" max="513" width="5.875" style="905" customWidth="1"/>
    <col min="514" max="514" width="86.625" style="905" customWidth="1"/>
    <col min="515" max="515" width="15.375" style="905" customWidth="1"/>
    <col min="516" max="768" width="9.125" style="905"/>
    <col min="769" max="769" width="5.875" style="905" customWidth="1"/>
    <col min="770" max="770" width="86.625" style="905" customWidth="1"/>
    <col min="771" max="771" width="15.375" style="905" customWidth="1"/>
    <col min="772" max="1024" width="9.125" style="905"/>
    <col min="1025" max="1025" width="5.875" style="905" customWidth="1"/>
    <col min="1026" max="1026" width="86.625" style="905" customWidth="1"/>
    <col min="1027" max="1027" width="15.375" style="905" customWidth="1"/>
    <col min="1028" max="1280" width="9.125" style="905"/>
    <col min="1281" max="1281" width="5.875" style="905" customWidth="1"/>
    <col min="1282" max="1282" width="86.625" style="905" customWidth="1"/>
    <col min="1283" max="1283" width="15.375" style="905" customWidth="1"/>
    <col min="1284" max="1536" width="9.125" style="905"/>
    <col min="1537" max="1537" width="5.875" style="905" customWidth="1"/>
    <col min="1538" max="1538" width="86.625" style="905" customWidth="1"/>
    <col min="1539" max="1539" width="15.375" style="905" customWidth="1"/>
    <col min="1540" max="1792" width="9.125" style="905"/>
    <col min="1793" max="1793" width="5.875" style="905" customWidth="1"/>
    <col min="1794" max="1794" width="86.625" style="905" customWidth="1"/>
    <col min="1795" max="1795" width="15.375" style="905" customWidth="1"/>
    <col min="1796" max="2048" width="9.125" style="905"/>
    <col min="2049" max="2049" width="5.875" style="905" customWidth="1"/>
    <col min="2050" max="2050" width="86.625" style="905" customWidth="1"/>
    <col min="2051" max="2051" width="15.375" style="905" customWidth="1"/>
    <col min="2052" max="2304" width="9.125" style="905"/>
    <col min="2305" max="2305" width="5.875" style="905" customWidth="1"/>
    <col min="2306" max="2306" width="86.625" style="905" customWidth="1"/>
    <col min="2307" max="2307" width="15.375" style="905" customWidth="1"/>
    <col min="2308" max="2560" width="9.125" style="905"/>
    <col min="2561" max="2561" width="5.875" style="905" customWidth="1"/>
    <col min="2562" max="2562" width="86.625" style="905" customWidth="1"/>
    <col min="2563" max="2563" width="15.375" style="905" customWidth="1"/>
    <col min="2564" max="2816" width="9.125" style="905"/>
    <col min="2817" max="2817" width="5.875" style="905" customWidth="1"/>
    <col min="2818" max="2818" width="86.625" style="905" customWidth="1"/>
    <col min="2819" max="2819" width="15.375" style="905" customWidth="1"/>
    <col min="2820" max="3072" width="9.125" style="905"/>
    <col min="3073" max="3073" width="5.875" style="905" customWidth="1"/>
    <col min="3074" max="3074" width="86.625" style="905" customWidth="1"/>
    <col min="3075" max="3075" width="15.375" style="905" customWidth="1"/>
    <col min="3076" max="3328" width="9.125" style="905"/>
    <col min="3329" max="3329" width="5.875" style="905" customWidth="1"/>
    <col min="3330" max="3330" width="86.625" style="905" customWidth="1"/>
    <col min="3331" max="3331" width="15.375" style="905" customWidth="1"/>
    <col min="3332" max="3584" width="9.125" style="905"/>
    <col min="3585" max="3585" width="5.875" style="905" customWidth="1"/>
    <col min="3586" max="3586" width="86.625" style="905" customWidth="1"/>
    <col min="3587" max="3587" width="15.375" style="905" customWidth="1"/>
    <col min="3588" max="3840" width="9.125" style="905"/>
    <col min="3841" max="3841" width="5.875" style="905" customWidth="1"/>
    <col min="3842" max="3842" width="86.625" style="905" customWidth="1"/>
    <col min="3843" max="3843" width="15.375" style="905" customWidth="1"/>
    <col min="3844" max="4096" width="9.125" style="905"/>
    <col min="4097" max="4097" width="5.875" style="905" customWidth="1"/>
    <col min="4098" max="4098" width="86.625" style="905" customWidth="1"/>
    <col min="4099" max="4099" width="15.375" style="905" customWidth="1"/>
    <col min="4100" max="4352" width="9.125" style="905"/>
    <col min="4353" max="4353" width="5.875" style="905" customWidth="1"/>
    <col min="4354" max="4354" width="86.625" style="905" customWidth="1"/>
    <col min="4355" max="4355" width="15.375" style="905" customWidth="1"/>
    <col min="4356" max="4608" width="9.125" style="905"/>
    <col min="4609" max="4609" width="5.875" style="905" customWidth="1"/>
    <col min="4610" max="4610" width="86.625" style="905" customWidth="1"/>
    <col min="4611" max="4611" width="15.375" style="905" customWidth="1"/>
    <col min="4612" max="4864" width="9.125" style="905"/>
    <col min="4865" max="4865" width="5.875" style="905" customWidth="1"/>
    <col min="4866" max="4866" width="86.625" style="905" customWidth="1"/>
    <col min="4867" max="4867" width="15.375" style="905" customWidth="1"/>
    <col min="4868" max="5120" width="9.125" style="905"/>
    <col min="5121" max="5121" width="5.875" style="905" customWidth="1"/>
    <col min="5122" max="5122" width="86.625" style="905" customWidth="1"/>
    <col min="5123" max="5123" width="15.375" style="905" customWidth="1"/>
    <col min="5124" max="5376" width="9.125" style="905"/>
    <col min="5377" max="5377" width="5.875" style="905" customWidth="1"/>
    <col min="5378" max="5378" width="86.625" style="905" customWidth="1"/>
    <col min="5379" max="5379" width="15.375" style="905" customWidth="1"/>
    <col min="5380" max="5632" width="9.125" style="905"/>
    <col min="5633" max="5633" width="5.875" style="905" customWidth="1"/>
    <col min="5634" max="5634" width="86.625" style="905" customWidth="1"/>
    <col min="5635" max="5635" width="15.375" style="905" customWidth="1"/>
    <col min="5636" max="5888" width="9.125" style="905"/>
    <col min="5889" max="5889" width="5.875" style="905" customWidth="1"/>
    <col min="5890" max="5890" width="86.625" style="905" customWidth="1"/>
    <col min="5891" max="5891" width="15.375" style="905" customWidth="1"/>
    <col min="5892" max="6144" width="9.125" style="905"/>
    <col min="6145" max="6145" width="5.875" style="905" customWidth="1"/>
    <col min="6146" max="6146" width="86.625" style="905" customWidth="1"/>
    <col min="6147" max="6147" width="15.375" style="905" customWidth="1"/>
    <col min="6148" max="6400" width="9.125" style="905"/>
    <col min="6401" max="6401" width="5.875" style="905" customWidth="1"/>
    <col min="6402" max="6402" width="86.625" style="905" customWidth="1"/>
    <col min="6403" max="6403" width="15.375" style="905" customWidth="1"/>
    <col min="6404" max="6656" width="9.125" style="905"/>
    <col min="6657" max="6657" width="5.875" style="905" customWidth="1"/>
    <col min="6658" max="6658" width="86.625" style="905" customWidth="1"/>
    <col min="6659" max="6659" width="15.375" style="905" customWidth="1"/>
    <col min="6660" max="6912" width="9.125" style="905"/>
    <col min="6913" max="6913" width="5.875" style="905" customWidth="1"/>
    <col min="6914" max="6914" width="86.625" style="905" customWidth="1"/>
    <col min="6915" max="6915" width="15.375" style="905" customWidth="1"/>
    <col min="6916" max="7168" width="9.125" style="905"/>
    <col min="7169" max="7169" width="5.875" style="905" customWidth="1"/>
    <col min="7170" max="7170" width="86.625" style="905" customWidth="1"/>
    <col min="7171" max="7171" width="15.375" style="905" customWidth="1"/>
    <col min="7172" max="7424" width="9.125" style="905"/>
    <col min="7425" max="7425" width="5.875" style="905" customWidth="1"/>
    <col min="7426" max="7426" width="86.625" style="905" customWidth="1"/>
    <col min="7427" max="7427" width="15.375" style="905" customWidth="1"/>
    <col min="7428" max="7680" width="9.125" style="905"/>
    <col min="7681" max="7681" width="5.875" style="905" customWidth="1"/>
    <col min="7682" max="7682" width="86.625" style="905" customWidth="1"/>
    <col min="7683" max="7683" width="15.375" style="905" customWidth="1"/>
    <col min="7684" max="7936" width="9.125" style="905"/>
    <col min="7937" max="7937" width="5.875" style="905" customWidth="1"/>
    <col min="7938" max="7938" width="86.625" style="905" customWidth="1"/>
    <col min="7939" max="7939" width="15.375" style="905" customWidth="1"/>
    <col min="7940" max="8192" width="9.125" style="905"/>
    <col min="8193" max="8193" width="5.875" style="905" customWidth="1"/>
    <col min="8194" max="8194" width="86.625" style="905" customWidth="1"/>
    <col min="8195" max="8195" width="15.375" style="905" customWidth="1"/>
    <col min="8196" max="8448" width="9.125" style="905"/>
    <col min="8449" max="8449" width="5.875" style="905" customWidth="1"/>
    <col min="8450" max="8450" width="86.625" style="905" customWidth="1"/>
    <col min="8451" max="8451" width="15.375" style="905" customWidth="1"/>
    <col min="8452" max="8704" width="9.125" style="905"/>
    <col min="8705" max="8705" width="5.875" style="905" customWidth="1"/>
    <col min="8706" max="8706" width="86.625" style="905" customWidth="1"/>
    <col min="8707" max="8707" width="15.375" style="905" customWidth="1"/>
    <col min="8708" max="8960" width="9.125" style="905"/>
    <col min="8961" max="8961" width="5.875" style="905" customWidth="1"/>
    <col min="8962" max="8962" width="86.625" style="905" customWidth="1"/>
    <col min="8963" max="8963" width="15.375" style="905" customWidth="1"/>
    <col min="8964" max="9216" width="9.125" style="905"/>
    <col min="9217" max="9217" width="5.875" style="905" customWidth="1"/>
    <col min="9218" max="9218" width="86.625" style="905" customWidth="1"/>
    <col min="9219" max="9219" width="15.375" style="905" customWidth="1"/>
    <col min="9220" max="9472" width="9.125" style="905"/>
    <col min="9473" max="9473" width="5.875" style="905" customWidth="1"/>
    <col min="9474" max="9474" width="86.625" style="905" customWidth="1"/>
    <col min="9475" max="9475" width="15.375" style="905" customWidth="1"/>
    <col min="9476" max="9728" width="9.125" style="905"/>
    <col min="9729" max="9729" width="5.875" style="905" customWidth="1"/>
    <col min="9730" max="9730" width="86.625" style="905" customWidth="1"/>
    <col min="9731" max="9731" width="15.375" style="905" customWidth="1"/>
    <col min="9732" max="9984" width="9.125" style="905"/>
    <col min="9985" max="9985" width="5.875" style="905" customWidth="1"/>
    <col min="9986" max="9986" width="86.625" style="905" customWidth="1"/>
    <col min="9987" max="9987" width="15.375" style="905" customWidth="1"/>
    <col min="9988" max="10240" width="9.125" style="905"/>
    <col min="10241" max="10241" width="5.875" style="905" customWidth="1"/>
    <col min="10242" max="10242" width="86.625" style="905" customWidth="1"/>
    <col min="10243" max="10243" width="15.375" style="905" customWidth="1"/>
    <col min="10244" max="10496" width="9.125" style="905"/>
    <col min="10497" max="10497" width="5.875" style="905" customWidth="1"/>
    <col min="10498" max="10498" width="86.625" style="905" customWidth="1"/>
    <col min="10499" max="10499" width="15.375" style="905" customWidth="1"/>
    <col min="10500" max="10752" width="9.125" style="905"/>
    <col min="10753" max="10753" width="5.875" style="905" customWidth="1"/>
    <col min="10754" max="10754" width="86.625" style="905" customWidth="1"/>
    <col min="10755" max="10755" width="15.375" style="905" customWidth="1"/>
    <col min="10756" max="11008" width="9.125" style="905"/>
    <col min="11009" max="11009" width="5.875" style="905" customWidth="1"/>
    <col min="11010" max="11010" width="86.625" style="905" customWidth="1"/>
    <col min="11011" max="11011" width="15.375" style="905" customWidth="1"/>
    <col min="11012" max="11264" width="9.125" style="905"/>
    <col min="11265" max="11265" width="5.875" style="905" customWidth="1"/>
    <col min="11266" max="11266" width="86.625" style="905" customWidth="1"/>
    <col min="11267" max="11267" width="15.375" style="905" customWidth="1"/>
    <col min="11268" max="11520" width="9.125" style="905"/>
    <col min="11521" max="11521" width="5.875" style="905" customWidth="1"/>
    <col min="11522" max="11522" width="86.625" style="905" customWidth="1"/>
    <col min="11523" max="11523" width="15.375" style="905" customWidth="1"/>
    <col min="11524" max="11776" width="9.125" style="905"/>
    <col min="11777" max="11777" width="5.875" style="905" customWidth="1"/>
    <col min="11778" max="11778" width="86.625" style="905" customWidth="1"/>
    <col min="11779" max="11779" width="15.375" style="905" customWidth="1"/>
    <col min="11780" max="12032" width="9.125" style="905"/>
    <col min="12033" max="12033" width="5.875" style="905" customWidth="1"/>
    <col min="12034" max="12034" width="86.625" style="905" customWidth="1"/>
    <col min="12035" max="12035" width="15.375" style="905" customWidth="1"/>
    <col min="12036" max="12288" width="9.125" style="905"/>
    <col min="12289" max="12289" width="5.875" style="905" customWidth="1"/>
    <col min="12290" max="12290" width="86.625" style="905" customWidth="1"/>
    <col min="12291" max="12291" width="15.375" style="905" customWidth="1"/>
    <col min="12292" max="12544" width="9.125" style="905"/>
    <col min="12545" max="12545" width="5.875" style="905" customWidth="1"/>
    <col min="12546" max="12546" width="86.625" style="905" customWidth="1"/>
    <col min="12547" max="12547" width="15.375" style="905" customWidth="1"/>
    <col min="12548" max="12800" width="9.125" style="905"/>
    <col min="12801" max="12801" width="5.875" style="905" customWidth="1"/>
    <col min="12802" max="12802" width="86.625" style="905" customWidth="1"/>
    <col min="12803" max="12803" width="15.375" style="905" customWidth="1"/>
    <col min="12804" max="13056" width="9.125" style="905"/>
    <col min="13057" max="13057" width="5.875" style="905" customWidth="1"/>
    <col min="13058" max="13058" width="86.625" style="905" customWidth="1"/>
    <col min="13059" max="13059" width="15.375" style="905" customWidth="1"/>
    <col min="13060" max="13312" width="9.125" style="905"/>
    <col min="13313" max="13313" width="5.875" style="905" customWidth="1"/>
    <col min="13314" max="13314" width="86.625" style="905" customWidth="1"/>
    <col min="13315" max="13315" width="15.375" style="905" customWidth="1"/>
    <col min="13316" max="13568" width="9.125" style="905"/>
    <col min="13569" max="13569" width="5.875" style="905" customWidth="1"/>
    <col min="13570" max="13570" width="86.625" style="905" customWidth="1"/>
    <col min="13571" max="13571" width="15.375" style="905" customWidth="1"/>
    <col min="13572" max="13824" width="9.125" style="905"/>
    <col min="13825" max="13825" width="5.875" style="905" customWidth="1"/>
    <col min="13826" max="13826" width="86.625" style="905" customWidth="1"/>
    <col min="13827" max="13827" width="15.375" style="905" customWidth="1"/>
    <col min="13828" max="14080" width="9.125" style="905"/>
    <col min="14081" max="14081" width="5.875" style="905" customWidth="1"/>
    <col min="14082" max="14082" width="86.625" style="905" customWidth="1"/>
    <col min="14083" max="14083" width="15.375" style="905" customWidth="1"/>
    <col min="14084" max="14336" width="9.125" style="905"/>
    <col min="14337" max="14337" width="5.875" style="905" customWidth="1"/>
    <col min="14338" max="14338" width="86.625" style="905" customWidth="1"/>
    <col min="14339" max="14339" width="15.375" style="905" customWidth="1"/>
    <col min="14340" max="14592" width="9.125" style="905"/>
    <col min="14593" max="14593" width="5.875" style="905" customWidth="1"/>
    <col min="14594" max="14594" width="86.625" style="905" customWidth="1"/>
    <col min="14595" max="14595" width="15.375" style="905" customWidth="1"/>
    <col min="14596" max="14848" width="9.125" style="905"/>
    <col min="14849" max="14849" width="5.875" style="905" customWidth="1"/>
    <col min="14850" max="14850" width="86.625" style="905" customWidth="1"/>
    <col min="14851" max="14851" width="15.375" style="905" customWidth="1"/>
    <col min="14852" max="15104" width="9.125" style="905"/>
    <col min="15105" max="15105" width="5.875" style="905" customWidth="1"/>
    <col min="15106" max="15106" width="86.625" style="905" customWidth="1"/>
    <col min="15107" max="15107" width="15.375" style="905" customWidth="1"/>
    <col min="15108" max="15360" width="9.125" style="905"/>
    <col min="15361" max="15361" width="5.875" style="905" customWidth="1"/>
    <col min="15362" max="15362" width="86.625" style="905" customWidth="1"/>
    <col min="15363" max="15363" width="15.375" style="905" customWidth="1"/>
    <col min="15364" max="15616" width="9.125" style="905"/>
    <col min="15617" max="15617" width="5.875" style="905" customWidth="1"/>
    <col min="15618" max="15618" width="86.625" style="905" customWidth="1"/>
    <col min="15619" max="15619" width="15.375" style="905" customWidth="1"/>
    <col min="15620" max="15872" width="9.125" style="905"/>
    <col min="15873" max="15873" width="5.875" style="905" customWidth="1"/>
    <col min="15874" max="15874" width="86.625" style="905" customWidth="1"/>
    <col min="15875" max="15875" width="15.375" style="905" customWidth="1"/>
    <col min="15876" max="16128" width="9.125" style="905"/>
    <col min="16129" max="16129" width="5.875" style="905" customWidth="1"/>
    <col min="16130" max="16130" width="86.625" style="905" customWidth="1"/>
    <col min="16131" max="16131" width="15.375" style="905" customWidth="1"/>
    <col min="16132" max="16384" width="9.125" style="905"/>
  </cols>
  <sheetData>
    <row r="1" spans="1:9">
      <c r="A1" s="902" t="s">
        <v>1105</v>
      </c>
      <c r="B1" s="902"/>
      <c r="C1" s="1313"/>
      <c r="D1" s="904"/>
      <c r="E1" s="904"/>
      <c r="F1" s="904"/>
      <c r="G1" s="904"/>
      <c r="H1" s="904"/>
      <c r="I1" s="904"/>
    </row>
    <row r="2" spans="1:9">
      <c r="A2" s="902" t="s">
        <v>1332</v>
      </c>
      <c r="B2" s="902"/>
      <c r="C2" s="1313"/>
      <c r="D2" s="904"/>
      <c r="E2" s="904"/>
      <c r="F2" s="904"/>
      <c r="G2" s="904"/>
      <c r="H2" s="904"/>
      <c r="I2" s="904"/>
    </row>
    <row r="3" spans="1:9" ht="10.5" customHeight="1">
      <c r="A3" s="904"/>
      <c r="B3" s="904"/>
      <c r="C3" s="1313"/>
      <c r="D3" s="904"/>
      <c r="E3" s="904"/>
      <c r="F3" s="904"/>
      <c r="G3" s="904"/>
      <c r="H3" s="904"/>
      <c r="I3" s="904"/>
    </row>
    <row r="4" spans="1:9">
      <c r="A4" s="906"/>
      <c r="B4" s="907" t="s">
        <v>0</v>
      </c>
      <c r="C4" s="908" t="s">
        <v>1</v>
      </c>
      <c r="D4" s="904"/>
      <c r="E4" s="904"/>
      <c r="F4" s="904"/>
      <c r="G4" s="904"/>
      <c r="H4" s="904"/>
      <c r="I4" s="904"/>
    </row>
    <row r="5" spans="1:9">
      <c r="A5" s="909"/>
      <c r="B5" s="910" t="s">
        <v>1333</v>
      </c>
      <c r="C5" s="911" t="s">
        <v>2</v>
      </c>
      <c r="D5" s="904"/>
      <c r="E5" s="904"/>
      <c r="F5" s="904"/>
      <c r="G5" s="904"/>
      <c r="H5" s="904"/>
      <c r="I5" s="904"/>
    </row>
    <row r="6" spans="1:9">
      <c r="A6" s="912">
        <v>1.1000000000000001</v>
      </c>
      <c r="B6" s="913" t="s">
        <v>3</v>
      </c>
      <c r="C6" s="914">
        <v>2445000</v>
      </c>
    </row>
    <row r="7" spans="1:9">
      <c r="A7" s="930"/>
      <c r="B7" s="931" t="s">
        <v>1818</v>
      </c>
      <c r="C7" s="917">
        <v>160000</v>
      </c>
    </row>
    <row r="8" spans="1:9" ht="21" customHeight="1">
      <c r="A8" s="932"/>
      <c r="B8" s="931" t="s">
        <v>1819</v>
      </c>
      <c r="C8" s="917">
        <v>150000</v>
      </c>
    </row>
    <row r="9" spans="1:9" ht="21" customHeight="1">
      <c r="A9" s="932"/>
      <c r="B9" s="931" t="s">
        <v>1820</v>
      </c>
      <c r="C9" s="917">
        <v>800000</v>
      </c>
    </row>
    <row r="10" spans="1:9" ht="21" customHeight="1">
      <c r="A10" s="932"/>
      <c r="B10" s="931" t="s">
        <v>1908</v>
      </c>
      <c r="C10" s="917">
        <v>1200000</v>
      </c>
    </row>
    <row r="11" spans="1:9" ht="21" customHeight="1">
      <c r="A11" s="932"/>
      <c r="B11" s="931" t="s">
        <v>1821</v>
      </c>
      <c r="C11" s="917">
        <v>135000</v>
      </c>
    </row>
    <row r="12" spans="1:9" ht="21" customHeight="1">
      <c r="A12" s="912">
        <v>1.2</v>
      </c>
      <c r="B12" s="933" t="s">
        <v>1909</v>
      </c>
      <c r="C12" s="914">
        <v>81000</v>
      </c>
    </row>
    <row r="13" spans="1:9" ht="21" customHeight="1">
      <c r="A13" s="932"/>
      <c r="B13" s="931" t="s">
        <v>1334</v>
      </c>
      <c r="C13" s="917">
        <v>48000</v>
      </c>
    </row>
    <row r="14" spans="1:9" ht="21" customHeight="1">
      <c r="A14" s="932"/>
      <c r="B14" s="931" t="s">
        <v>1335</v>
      </c>
      <c r="C14" s="917">
        <v>24000</v>
      </c>
    </row>
    <row r="15" spans="1:9" ht="21" customHeight="1">
      <c r="A15" s="932"/>
      <c r="B15" s="931" t="s">
        <v>1336</v>
      </c>
      <c r="C15" s="917">
        <v>5000</v>
      </c>
    </row>
    <row r="16" spans="1:9" ht="21" customHeight="1">
      <c r="A16" s="932"/>
      <c r="B16" s="931" t="s">
        <v>1337</v>
      </c>
      <c r="C16" s="917">
        <v>4000</v>
      </c>
    </row>
    <row r="17" spans="1:3" ht="21" customHeight="1">
      <c r="A17" s="912">
        <v>1.3</v>
      </c>
      <c r="B17" s="933" t="s">
        <v>1910</v>
      </c>
      <c r="C17" s="914">
        <v>572000</v>
      </c>
    </row>
    <row r="18" spans="1:3" ht="21" customHeight="1">
      <c r="A18" s="932"/>
      <c r="B18" s="931" t="s">
        <v>1338</v>
      </c>
      <c r="C18" s="917">
        <v>20000</v>
      </c>
    </row>
    <row r="19" spans="1:3" ht="21" customHeight="1">
      <c r="A19" s="932"/>
      <c r="B19" s="931" t="s">
        <v>1339</v>
      </c>
      <c r="C19" s="917">
        <v>80000</v>
      </c>
    </row>
    <row r="20" spans="1:3" ht="21" customHeight="1">
      <c r="A20" s="932"/>
      <c r="B20" s="931" t="s">
        <v>1340</v>
      </c>
      <c r="C20" s="917">
        <v>14400</v>
      </c>
    </row>
    <row r="21" spans="1:3" ht="21" customHeight="1">
      <c r="A21" s="918"/>
      <c r="B21" s="931" t="s">
        <v>1341</v>
      </c>
      <c r="C21" s="917">
        <v>57600</v>
      </c>
    </row>
    <row r="22" spans="1:3" ht="21" customHeight="1">
      <c r="A22" s="932"/>
      <c r="B22" s="931" t="s">
        <v>1342</v>
      </c>
      <c r="C22" s="917">
        <v>120000</v>
      </c>
    </row>
    <row r="23" spans="1:3" ht="21" customHeight="1">
      <c r="A23" s="932"/>
      <c r="B23" s="931" t="s">
        <v>1343</v>
      </c>
      <c r="C23" s="917">
        <v>40000</v>
      </c>
    </row>
    <row r="24" spans="1:3" ht="21" customHeight="1">
      <c r="A24" s="932"/>
      <c r="B24" s="931" t="s">
        <v>1344</v>
      </c>
      <c r="C24" s="917">
        <v>240000</v>
      </c>
    </row>
    <row r="25" spans="1:3" ht="21" customHeight="1">
      <c r="A25" s="912">
        <v>1.4</v>
      </c>
      <c r="B25" s="933" t="s">
        <v>1911</v>
      </c>
      <c r="C25" s="914">
        <v>810000</v>
      </c>
    </row>
    <row r="26" spans="1:3" ht="21" customHeight="1">
      <c r="A26" s="932"/>
      <c r="B26" s="931" t="s">
        <v>1345</v>
      </c>
      <c r="C26" s="917">
        <v>450000</v>
      </c>
    </row>
    <row r="27" spans="1:3" ht="21" customHeight="1">
      <c r="A27" s="932"/>
      <c r="B27" s="931" t="s">
        <v>1346</v>
      </c>
      <c r="C27" s="917">
        <v>120000</v>
      </c>
    </row>
    <row r="28" spans="1:3" ht="21" customHeight="1">
      <c r="A28" s="932"/>
      <c r="B28" s="931" t="s">
        <v>1347</v>
      </c>
      <c r="C28" s="917">
        <v>240000</v>
      </c>
    </row>
    <row r="29" spans="1:3" ht="21" customHeight="1">
      <c r="A29" s="934">
        <v>1.5</v>
      </c>
      <c r="B29" s="935" t="s">
        <v>1912</v>
      </c>
      <c r="C29" s="914">
        <v>330000</v>
      </c>
    </row>
    <row r="30" spans="1:3" ht="21" customHeight="1">
      <c r="A30" s="932"/>
      <c r="B30" s="931" t="s">
        <v>1348</v>
      </c>
      <c r="C30" s="917">
        <v>30000</v>
      </c>
    </row>
    <row r="31" spans="1:3" ht="21" customHeight="1">
      <c r="A31" s="932"/>
      <c r="B31" s="931" t="s">
        <v>1349</v>
      </c>
      <c r="C31" s="917">
        <v>300000</v>
      </c>
    </row>
    <row r="32" spans="1:3" ht="21" customHeight="1">
      <c r="A32" s="912">
        <v>1.6</v>
      </c>
      <c r="B32" s="933" t="s">
        <v>1350</v>
      </c>
      <c r="C32" s="914">
        <v>4414200</v>
      </c>
    </row>
    <row r="33" spans="1:3" ht="21" customHeight="1">
      <c r="A33" s="932"/>
      <c r="B33" s="931" t="s">
        <v>1351</v>
      </c>
      <c r="C33" s="936">
        <v>3900000</v>
      </c>
    </row>
    <row r="34" spans="1:3" ht="21" customHeight="1">
      <c r="A34" s="932"/>
      <c r="B34" s="931" t="s">
        <v>1352</v>
      </c>
      <c r="C34" s="917">
        <v>2700000</v>
      </c>
    </row>
    <row r="35" spans="1:3" ht="21" customHeight="1">
      <c r="A35" s="932"/>
      <c r="B35" s="931" t="s">
        <v>1353</v>
      </c>
      <c r="C35" s="917">
        <v>1200000</v>
      </c>
    </row>
    <row r="36" spans="1:3" ht="21" customHeight="1">
      <c r="A36" s="932"/>
      <c r="B36" s="931"/>
      <c r="C36" s="923"/>
    </row>
    <row r="37" spans="1:3" ht="21" customHeight="1">
      <c r="A37" s="932"/>
      <c r="B37" s="931" t="s">
        <v>1354</v>
      </c>
      <c r="C37" s="936">
        <v>400000</v>
      </c>
    </row>
    <row r="38" spans="1:3" ht="21" customHeight="1">
      <c r="A38" s="932"/>
      <c r="B38" s="931" t="s">
        <v>1355</v>
      </c>
      <c r="C38" s="917">
        <v>400000</v>
      </c>
    </row>
    <row r="39" spans="1:3" ht="21" customHeight="1">
      <c r="A39" s="932"/>
      <c r="B39" s="931"/>
      <c r="C39" s="923"/>
    </row>
    <row r="40" spans="1:3" ht="21" customHeight="1">
      <c r="A40" s="932"/>
      <c r="B40" s="931" t="s">
        <v>1356</v>
      </c>
      <c r="C40" s="936">
        <v>114200</v>
      </c>
    </row>
    <row r="41" spans="1:3" ht="21" customHeight="1">
      <c r="A41" s="932"/>
      <c r="B41" s="931" t="s">
        <v>1357</v>
      </c>
      <c r="C41" s="917">
        <v>5000</v>
      </c>
    </row>
    <row r="42" spans="1:3" ht="21" customHeight="1">
      <c r="A42" s="932"/>
      <c r="B42" s="931" t="s">
        <v>1358</v>
      </c>
      <c r="C42" s="917">
        <v>20000</v>
      </c>
    </row>
    <row r="43" spans="1:3" ht="21" customHeight="1">
      <c r="A43" s="932"/>
      <c r="B43" s="931" t="s">
        <v>1359</v>
      </c>
      <c r="C43" s="917">
        <v>9600</v>
      </c>
    </row>
    <row r="44" spans="1:3" ht="21" customHeight="1">
      <c r="A44" s="932"/>
      <c r="B44" s="931" t="s">
        <v>1360</v>
      </c>
      <c r="C44" s="917">
        <v>9600</v>
      </c>
    </row>
    <row r="45" spans="1:3" ht="21" customHeight="1">
      <c r="A45" s="932"/>
      <c r="B45" s="931" t="s">
        <v>1361</v>
      </c>
      <c r="C45" s="917">
        <v>20000</v>
      </c>
    </row>
    <row r="46" spans="1:3" ht="21" customHeight="1">
      <c r="A46" s="932"/>
      <c r="B46" s="931" t="s">
        <v>1362</v>
      </c>
      <c r="C46" s="917">
        <v>20000</v>
      </c>
    </row>
    <row r="47" spans="1:3" ht="21" customHeight="1">
      <c r="A47" s="932"/>
      <c r="B47" s="931" t="s">
        <v>1363</v>
      </c>
      <c r="C47" s="917">
        <v>30000</v>
      </c>
    </row>
    <row r="48" spans="1:3" ht="21" customHeight="1">
      <c r="A48" s="912">
        <v>1.7</v>
      </c>
      <c r="B48" s="933" t="s">
        <v>1364</v>
      </c>
      <c r="C48" s="914">
        <v>170800</v>
      </c>
    </row>
    <row r="49" spans="1:3" ht="21" customHeight="1">
      <c r="A49" s="932"/>
      <c r="B49" s="931" t="s">
        <v>1365</v>
      </c>
      <c r="C49" s="917">
        <v>120000</v>
      </c>
    </row>
    <row r="50" spans="1:3" ht="21" customHeight="1">
      <c r="A50" s="932"/>
      <c r="B50" s="931" t="s">
        <v>1336</v>
      </c>
      <c r="C50" s="917">
        <v>23600</v>
      </c>
    </row>
    <row r="51" spans="1:3" ht="21" customHeight="1">
      <c r="A51" s="932"/>
      <c r="B51" s="931" t="s">
        <v>1366</v>
      </c>
      <c r="C51" s="917">
        <v>20000</v>
      </c>
    </row>
    <row r="52" spans="1:3" ht="21" customHeight="1">
      <c r="A52" s="932"/>
      <c r="B52" s="931" t="s">
        <v>1367</v>
      </c>
      <c r="C52" s="917">
        <v>7200</v>
      </c>
    </row>
    <row r="53" spans="1:3">
      <c r="A53" s="932"/>
      <c r="B53" s="922"/>
      <c r="C53" s="923"/>
    </row>
    <row r="54" spans="1:3">
      <c r="A54" s="912"/>
      <c r="B54" s="924" t="s">
        <v>1330</v>
      </c>
      <c r="C54" s="914">
        <v>8823000</v>
      </c>
    </row>
    <row r="55" spans="1:3">
      <c r="A55" s="925"/>
      <c r="B55" s="926" t="s">
        <v>1368</v>
      </c>
      <c r="C55" s="927"/>
    </row>
    <row r="56" spans="1:3">
      <c r="C56" s="92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L52"/>
  <sheetViews>
    <sheetView workbookViewId="0">
      <selection sqref="A1:F1"/>
    </sheetView>
  </sheetViews>
  <sheetFormatPr defaultColWidth="8.875" defaultRowHeight="15.75"/>
  <cols>
    <col min="1" max="1" width="5" style="50" customWidth="1"/>
    <col min="2" max="2" width="39" style="50" customWidth="1"/>
    <col min="3" max="3" width="7.875" style="747" customWidth="1"/>
    <col min="4" max="4" width="7.375" style="747" customWidth="1"/>
    <col min="5" max="5" width="9.625" style="747" customWidth="1"/>
    <col min="6" max="6" width="12.875" style="50" customWidth="1"/>
    <col min="7" max="7" width="8.875" style="762" customWidth="1"/>
    <col min="8" max="8" width="9.375" style="778" bestFit="1" customWidth="1"/>
    <col min="9" max="9" width="15.875" style="778" customWidth="1"/>
    <col min="10" max="10" width="9" style="778" customWidth="1"/>
    <col min="11" max="11" width="10.75" style="742" bestFit="1" customWidth="1"/>
    <col min="12" max="12" width="12.125" style="742" bestFit="1" customWidth="1"/>
    <col min="13" max="16384" width="8.875" style="50"/>
  </cols>
  <sheetData>
    <row r="1" spans="1:12" ht="21">
      <c r="A1" s="1383" t="s">
        <v>1065</v>
      </c>
      <c r="B1" s="1384"/>
      <c r="C1" s="1384"/>
      <c r="D1" s="1384"/>
      <c r="E1" s="1384"/>
      <c r="F1" s="1384"/>
      <c r="G1" s="760"/>
      <c r="H1" s="779"/>
      <c r="J1" s="780">
        <f>5000000-F7</f>
        <v>0</v>
      </c>
    </row>
    <row r="2" spans="1:12" ht="22.5" customHeight="1">
      <c r="A2" s="1391" t="s">
        <v>1066</v>
      </c>
      <c r="B2" s="1392"/>
      <c r="C2" s="1392"/>
      <c r="D2" s="1392"/>
      <c r="E2" s="1392"/>
      <c r="F2" s="1392"/>
      <c r="G2" s="761"/>
      <c r="H2" s="781"/>
      <c r="J2" s="780">
        <v>24127.5</v>
      </c>
    </row>
    <row r="3" spans="1:12" ht="15.75" customHeight="1">
      <c r="B3" s="58"/>
      <c r="C3" s="743"/>
      <c r="D3" s="743"/>
      <c r="E3" s="743"/>
      <c r="F3" s="58"/>
    </row>
    <row r="4" spans="1:12" ht="15" customHeight="1">
      <c r="A4" s="749"/>
      <c r="B4" s="750"/>
      <c r="C4" s="1393" t="s">
        <v>1027</v>
      </c>
      <c r="D4" s="1396" t="s">
        <v>1028</v>
      </c>
      <c r="E4" s="1388" t="s">
        <v>1048</v>
      </c>
      <c r="F4" s="1388" t="s">
        <v>1029</v>
      </c>
    </row>
    <row r="5" spans="1:12">
      <c r="A5" s="751"/>
      <c r="B5" s="752" t="s">
        <v>1047</v>
      </c>
      <c r="C5" s="1394" t="s">
        <v>1030</v>
      </c>
      <c r="D5" s="1397"/>
      <c r="E5" s="1389"/>
      <c r="F5" s="1389"/>
    </row>
    <row r="6" spans="1:12" ht="16.5" thickBot="1">
      <c r="A6" s="753"/>
      <c r="B6" s="754"/>
      <c r="C6" s="1395" t="s">
        <v>1031</v>
      </c>
      <c r="D6" s="1398"/>
      <c r="E6" s="1390"/>
      <c r="F6" s="1390"/>
      <c r="I6" s="782">
        <v>5269897.5</v>
      </c>
    </row>
    <row r="7" spans="1:12" ht="17.25" thickTop="1" thickBot="1">
      <c r="A7" s="755"/>
      <c r="B7" s="756" t="s">
        <v>109</v>
      </c>
      <c r="C7" s="757"/>
      <c r="D7" s="757"/>
      <c r="E7" s="757"/>
      <c r="F7" s="763">
        <f>F8+F22</f>
        <v>5000000</v>
      </c>
    </row>
    <row r="8" spans="1:12" ht="15.75" customHeight="1" thickTop="1">
      <c r="A8" s="755"/>
      <c r="B8" s="758" t="s">
        <v>1046</v>
      </c>
      <c r="C8" s="759"/>
      <c r="D8" s="759"/>
      <c r="E8" s="759"/>
      <c r="F8" s="764">
        <v>2561872.5</v>
      </c>
    </row>
    <row r="9" spans="1:12">
      <c r="A9" s="748">
        <v>1</v>
      </c>
      <c r="B9" s="770" t="s">
        <v>1050</v>
      </c>
      <c r="C9" s="766"/>
      <c r="D9" s="766"/>
      <c r="E9" s="767"/>
      <c r="F9" s="768">
        <f>F10+F11+F12+F13+F14+F15+F16+F18</f>
        <v>1612957.5</v>
      </c>
      <c r="I9" s="783">
        <v>1920847.5</v>
      </c>
    </row>
    <row r="10" spans="1:12" ht="31.5">
      <c r="A10" s="748"/>
      <c r="B10" s="737" t="s">
        <v>1738</v>
      </c>
      <c r="C10" s="744">
        <v>1</v>
      </c>
      <c r="D10" s="744">
        <v>2</v>
      </c>
      <c r="E10" s="746">
        <f t="shared" ref="E10:E16" si="0">L10</f>
        <v>107910</v>
      </c>
      <c r="F10" s="738">
        <v>215820</v>
      </c>
      <c r="H10" s="778">
        <v>43600</v>
      </c>
      <c r="I10" s="778" t="s">
        <v>1059</v>
      </c>
      <c r="J10" s="778" t="e">
        <f>K</f>
        <v>#NAME?</v>
      </c>
      <c r="K10" s="742" t="e">
        <f>H10*I10*2</f>
        <v>#VALUE!</v>
      </c>
      <c r="L10" s="742">
        <f>H10*2.475</f>
        <v>107910</v>
      </c>
    </row>
    <row r="11" spans="1:12" ht="31.5">
      <c r="A11" s="748"/>
      <c r="B11" s="737" t="s">
        <v>1737</v>
      </c>
      <c r="C11" s="744">
        <v>1</v>
      </c>
      <c r="D11" s="744">
        <v>1</v>
      </c>
      <c r="E11" s="746">
        <f t="shared" si="0"/>
        <v>257647.5</v>
      </c>
      <c r="F11" s="738">
        <v>257647.5</v>
      </c>
      <c r="H11" s="778">
        <v>104100</v>
      </c>
      <c r="I11" s="778">
        <v>2.4750000000000001</v>
      </c>
      <c r="J11" s="778">
        <v>2</v>
      </c>
      <c r="K11" s="742">
        <f t="shared" ref="K11:K18" si="1">H11*I11*2</f>
        <v>515295</v>
      </c>
      <c r="L11" s="742">
        <f t="shared" ref="L11:L18" si="2">H11*2.475</f>
        <v>257647.5</v>
      </c>
    </row>
    <row r="12" spans="1:12" ht="40.5" customHeight="1">
      <c r="A12" s="748"/>
      <c r="B12" s="737" t="s">
        <v>1739</v>
      </c>
      <c r="C12" s="744">
        <v>1</v>
      </c>
      <c r="D12" s="744">
        <v>2</v>
      </c>
      <c r="E12" s="746">
        <f t="shared" si="0"/>
        <v>107910</v>
      </c>
      <c r="F12" s="738">
        <v>215820</v>
      </c>
      <c r="H12" s="778">
        <v>43600</v>
      </c>
      <c r="I12" s="778">
        <v>2.4750000000000001</v>
      </c>
      <c r="J12" s="778">
        <v>1</v>
      </c>
      <c r="K12" s="742">
        <f t="shared" si="1"/>
        <v>215820</v>
      </c>
      <c r="L12" s="742">
        <f t="shared" si="2"/>
        <v>107910</v>
      </c>
    </row>
    <row r="13" spans="1:12" ht="31.5">
      <c r="A13" s="748"/>
      <c r="B13" s="737" t="s">
        <v>1740</v>
      </c>
      <c r="C13" s="744">
        <v>1</v>
      </c>
      <c r="D13" s="744">
        <v>2</v>
      </c>
      <c r="E13" s="746">
        <f t="shared" si="0"/>
        <v>76972.5</v>
      </c>
      <c r="F13" s="738">
        <v>153945</v>
      </c>
      <c r="H13" s="778">
        <v>31100</v>
      </c>
      <c r="I13" s="778">
        <v>2.4750000000000001</v>
      </c>
      <c r="J13" s="778">
        <v>2</v>
      </c>
      <c r="K13" s="742">
        <f t="shared" si="1"/>
        <v>153945</v>
      </c>
      <c r="L13" s="742">
        <f>H13*2.475</f>
        <v>76972.5</v>
      </c>
    </row>
    <row r="14" spans="1:12" ht="31.5">
      <c r="A14" s="748"/>
      <c r="B14" s="737" t="s">
        <v>1741</v>
      </c>
      <c r="C14" s="744">
        <v>1</v>
      </c>
      <c r="D14" s="744">
        <v>2</v>
      </c>
      <c r="E14" s="746">
        <f t="shared" si="0"/>
        <v>76972.5</v>
      </c>
      <c r="F14" s="738">
        <v>153945</v>
      </c>
      <c r="H14" s="778">
        <v>31100</v>
      </c>
      <c r="I14" s="778">
        <v>2.4750000000000001</v>
      </c>
      <c r="J14" s="778">
        <v>2</v>
      </c>
      <c r="K14" s="742">
        <f t="shared" si="1"/>
        <v>153945</v>
      </c>
      <c r="L14" s="742">
        <f t="shared" si="2"/>
        <v>76972.5</v>
      </c>
    </row>
    <row r="15" spans="1:12" ht="31.5">
      <c r="A15" s="748"/>
      <c r="B15" s="737" t="s">
        <v>1742</v>
      </c>
      <c r="C15" s="744">
        <v>1</v>
      </c>
      <c r="D15" s="744">
        <v>2</v>
      </c>
      <c r="E15" s="746">
        <f t="shared" si="0"/>
        <v>76972.5</v>
      </c>
      <c r="F15" s="738">
        <v>153945</v>
      </c>
      <c r="H15" s="778">
        <v>31100</v>
      </c>
      <c r="I15" s="778">
        <v>2.4750000000000001</v>
      </c>
      <c r="J15" s="778">
        <v>2</v>
      </c>
      <c r="K15" s="742">
        <f t="shared" si="1"/>
        <v>153945</v>
      </c>
      <c r="L15" s="742">
        <f t="shared" si="2"/>
        <v>76972.5</v>
      </c>
    </row>
    <row r="16" spans="1:12" ht="31.5">
      <c r="A16" s="748"/>
      <c r="B16" s="737" t="s">
        <v>1783</v>
      </c>
      <c r="C16" s="744">
        <v>1</v>
      </c>
      <c r="D16" s="744">
        <v>2</v>
      </c>
      <c r="E16" s="746">
        <f t="shared" si="0"/>
        <v>76972.5</v>
      </c>
      <c r="F16" s="738">
        <v>153945</v>
      </c>
      <c r="H16" s="778">
        <v>31100</v>
      </c>
      <c r="I16" s="778">
        <v>2.4750000000000001</v>
      </c>
      <c r="J16" s="778">
        <v>2</v>
      </c>
      <c r="K16" s="742">
        <f t="shared" si="1"/>
        <v>153945</v>
      </c>
      <c r="L16" s="742">
        <f t="shared" si="2"/>
        <v>76972.5</v>
      </c>
    </row>
    <row r="17" spans="1:12" ht="31.5">
      <c r="A17" s="748"/>
      <c r="B17" s="737" t="s">
        <v>1784</v>
      </c>
      <c r="C17" s="744">
        <v>1</v>
      </c>
      <c r="D17" s="744">
        <v>4</v>
      </c>
      <c r="E17" s="746">
        <v>76972.5</v>
      </c>
      <c r="F17" s="738">
        <f>307890</f>
        <v>307890</v>
      </c>
    </row>
    <row r="18" spans="1:12" ht="31.5">
      <c r="A18" s="748"/>
      <c r="B18" s="737" t="s">
        <v>1785</v>
      </c>
      <c r="C18" s="744">
        <v>1</v>
      </c>
      <c r="D18" s="744">
        <v>4</v>
      </c>
      <c r="E18" s="746">
        <f>L18</f>
        <v>76972.5</v>
      </c>
      <c r="F18" s="738">
        <f>307890</f>
        <v>307890</v>
      </c>
      <c r="H18" s="778">
        <v>31100</v>
      </c>
      <c r="I18" s="778">
        <v>2.4750000000000001</v>
      </c>
      <c r="J18" s="778">
        <v>4</v>
      </c>
      <c r="K18" s="742">
        <f t="shared" si="1"/>
        <v>153945</v>
      </c>
      <c r="L18" s="742">
        <f t="shared" si="2"/>
        <v>76972.5</v>
      </c>
    </row>
    <row r="19" spans="1:12">
      <c r="A19" s="748">
        <v>2</v>
      </c>
      <c r="B19" s="765" t="s">
        <v>1051</v>
      </c>
      <c r="C19" s="766"/>
      <c r="D19" s="766"/>
      <c r="E19" s="767"/>
      <c r="F19" s="768">
        <f>F20+F21</f>
        <v>641025</v>
      </c>
      <c r="H19" s="778">
        <f>SUM(H10:H18)</f>
        <v>346800</v>
      </c>
      <c r="I19" s="783">
        <v>641025</v>
      </c>
      <c r="K19" s="742" t="e">
        <f>SUM(K10:K18)</f>
        <v>#VALUE!</v>
      </c>
      <c r="L19" s="742">
        <f>SUM(L10:L18)</f>
        <v>858330</v>
      </c>
    </row>
    <row r="20" spans="1:12" ht="31.5">
      <c r="A20" s="748"/>
      <c r="B20" s="737" t="s">
        <v>1058</v>
      </c>
      <c r="C20" s="744">
        <v>1</v>
      </c>
      <c r="D20" s="744">
        <v>5</v>
      </c>
      <c r="E20" s="746">
        <f>L20</f>
        <v>64102.5</v>
      </c>
      <c r="F20" s="738">
        <v>320512.5</v>
      </c>
      <c r="H20" s="778">
        <v>25900</v>
      </c>
      <c r="I20" s="778">
        <v>2.4750000000000001</v>
      </c>
      <c r="J20" s="778">
        <v>5</v>
      </c>
      <c r="K20" s="742">
        <f>H20*I20*2</f>
        <v>128205</v>
      </c>
      <c r="L20" s="742">
        <f>H20*2.475</f>
        <v>64102.5</v>
      </c>
    </row>
    <row r="21" spans="1:12" ht="31.5">
      <c r="A21" s="748"/>
      <c r="B21" s="737" t="s">
        <v>1049</v>
      </c>
      <c r="C21" s="744">
        <v>1</v>
      </c>
      <c r="D21" s="744">
        <v>5</v>
      </c>
      <c r="E21" s="746">
        <f>L21</f>
        <v>64102.5</v>
      </c>
      <c r="F21" s="738">
        <v>320512.5</v>
      </c>
      <c r="H21" s="778">
        <v>25900</v>
      </c>
      <c r="I21" s="778">
        <v>2.4750000000000001</v>
      </c>
      <c r="J21" s="778">
        <v>5</v>
      </c>
      <c r="K21" s="742">
        <f>H21*I21*2</f>
        <v>128205</v>
      </c>
      <c r="L21" s="742">
        <f>H21*2.475</f>
        <v>64102.5</v>
      </c>
    </row>
    <row r="22" spans="1:12">
      <c r="A22" s="748">
        <v>3</v>
      </c>
      <c r="B22" s="769" t="s">
        <v>1052</v>
      </c>
      <c r="C22" s="766"/>
      <c r="D22" s="766"/>
      <c r="E22" s="767"/>
      <c r="F22" s="768">
        <f>F23+F30+F32+F34+F41+F43+F45+F47+F49</f>
        <v>2438127.5</v>
      </c>
    </row>
    <row r="23" spans="1:12" ht="31.5">
      <c r="A23" s="748"/>
      <c r="B23" s="771" t="s">
        <v>1814</v>
      </c>
      <c r="C23" s="772"/>
      <c r="D23" s="772"/>
      <c r="E23" s="773"/>
      <c r="F23" s="774">
        <f>SUM(F24:F29)</f>
        <v>361000</v>
      </c>
    </row>
    <row r="24" spans="1:12">
      <c r="A24" s="748"/>
      <c r="B24" s="739" t="s">
        <v>1054</v>
      </c>
      <c r="C24" s="744">
        <v>5</v>
      </c>
      <c r="D24" s="744"/>
      <c r="E24" s="745">
        <v>50000</v>
      </c>
      <c r="F24" s="736">
        <f>E24*C24</f>
        <v>250000</v>
      </c>
    </row>
    <row r="25" spans="1:12">
      <c r="A25" s="748"/>
      <c r="B25" s="739" t="s">
        <v>1032</v>
      </c>
      <c r="C25" s="744">
        <v>5</v>
      </c>
      <c r="D25" s="744"/>
      <c r="E25" s="745">
        <v>4000</v>
      </c>
      <c r="F25" s="736">
        <f>E25*C25</f>
        <v>20000</v>
      </c>
    </row>
    <row r="26" spans="1:12" ht="15.75" customHeight="1">
      <c r="A26" s="748"/>
      <c r="B26" s="739" t="s">
        <v>1053</v>
      </c>
      <c r="C26" s="744">
        <v>10</v>
      </c>
      <c r="D26" s="744"/>
      <c r="E26" s="745">
        <v>2500</v>
      </c>
      <c r="F26" s="736">
        <v>25000</v>
      </c>
    </row>
    <row r="27" spans="1:12">
      <c r="A27" s="748"/>
      <c r="B27" s="739" t="s">
        <v>1034</v>
      </c>
      <c r="C27" s="744">
        <v>10</v>
      </c>
      <c r="D27" s="744"/>
      <c r="E27" s="745">
        <v>500</v>
      </c>
      <c r="F27" s="736">
        <v>5000</v>
      </c>
    </row>
    <row r="28" spans="1:12">
      <c r="A28" s="748"/>
      <c r="B28" s="739" t="s">
        <v>1055</v>
      </c>
      <c r="C28" s="744">
        <v>10</v>
      </c>
      <c r="D28" s="744"/>
      <c r="E28" s="745">
        <v>100</v>
      </c>
      <c r="F28" s="736">
        <f>50*10*2</f>
        <v>1000</v>
      </c>
    </row>
    <row r="29" spans="1:12">
      <c r="A29" s="748"/>
      <c r="B29" s="739" t="s">
        <v>1035</v>
      </c>
      <c r="C29" s="744">
        <v>10</v>
      </c>
      <c r="D29" s="744">
        <v>6</v>
      </c>
      <c r="E29" s="745">
        <v>1000</v>
      </c>
      <c r="F29" s="736">
        <v>60000</v>
      </c>
    </row>
    <row r="30" spans="1:12" ht="28.5" customHeight="1">
      <c r="A30" s="748"/>
      <c r="B30" s="771" t="s">
        <v>1036</v>
      </c>
      <c r="C30" s="772"/>
      <c r="D30" s="772"/>
      <c r="E30" s="773"/>
      <c r="F30" s="774">
        <v>400000</v>
      </c>
    </row>
    <row r="31" spans="1:12" ht="30" customHeight="1">
      <c r="A31" s="748"/>
      <c r="B31" s="739" t="s">
        <v>1037</v>
      </c>
      <c r="C31" s="744">
        <v>1</v>
      </c>
      <c r="D31" s="744" t="s">
        <v>1038</v>
      </c>
      <c r="E31" s="745">
        <v>400000</v>
      </c>
      <c r="F31" s="736">
        <v>400000</v>
      </c>
    </row>
    <row r="32" spans="1:12" ht="94.5">
      <c r="A32" s="748"/>
      <c r="B32" s="771" t="s">
        <v>1815</v>
      </c>
      <c r="C32" s="772"/>
      <c r="D32" s="772"/>
      <c r="E32" s="773"/>
      <c r="F32" s="774">
        <v>500000</v>
      </c>
    </row>
    <row r="33" spans="1:6" ht="31.5">
      <c r="A33" s="748"/>
      <c r="B33" s="739" t="s">
        <v>1811</v>
      </c>
      <c r="C33" s="744">
        <v>1</v>
      </c>
      <c r="D33" s="744" t="s">
        <v>1038</v>
      </c>
      <c r="E33" s="745">
        <v>500000</v>
      </c>
      <c r="F33" s="736">
        <v>500000</v>
      </c>
    </row>
    <row r="34" spans="1:6" ht="52.5" customHeight="1">
      <c r="A34" s="748"/>
      <c r="B34" s="771" t="s">
        <v>1812</v>
      </c>
      <c r="C34" s="772"/>
      <c r="D34" s="772"/>
      <c r="E34" s="773"/>
      <c r="F34" s="774">
        <f>SUM(F35:F40)</f>
        <v>379000</v>
      </c>
    </row>
    <row r="35" spans="1:6">
      <c r="A35" s="748"/>
      <c r="B35" s="739" t="s">
        <v>1057</v>
      </c>
      <c r="C35" s="744">
        <v>6</v>
      </c>
      <c r="D35" s="744"/>
      <c r="E35" s="745">
        <v>50000</v>
      </c>
      <c r="F35" s="736">
        <f>E35*C35</f>
        <v>300000</v>
      </c>
    </row>
    <row r="36" spans="1:6">
      <c r="A36" s="748"/>
      <c r="B36" s="739" t="s">
        <v>1032</v>
      </c>
      <c r="C36" s="744">
        <v>6</v>
      </c>
      <c r="D36" s="744"/>
      <c r="E36" s="745">
        <v>4000</v>
      </c>
      <c r="F36" s="736">
        <f>E36*C36</f>
        <v>24000</v>
      </c>
    </row>
    <row r="37" spans="1:6">
      <c r="A37" s="748"/>
      <c r="B37" s="739" t="s">
        <v>1033</v>
      </c>
      <c r="C37" s="744">
        <v>6</v>
      </c>
      <c r="D37" s="744"/>
      <c r="E37" s="745">
        <v>2500</v>
      </c>
      <c r="F37" s="736">
        <v>15000</v>
      </c>
    </row>
    <row r="38" spans="1:6">
      <c r="A38" s="748"/>
      <c r="B38" s="739" t="s">
        <v>1055</v>
      </c>
      <c r="C38" s="744">
        <v>10</v>
      </c>
      <c r="D38" s="744"/>
      <c r="E38" s="745">
        <v>100</v>
      </c>
      <c r="F38" s="736">
        <f>50*10*2</f>
        <v>1000</v>
      </c>
    </row>
    <row r="39" spans="1:6">
      <c r="A39" s="748"/>
      <c r="B39" s="739" t="s">
        <v>1056</v>
      </c>
      <c r="C39" s="744">
        <v>6</v>
      </c>
      <c r="D39" s="744"/>
      <c r="E39" s="745">
        <v>500</v>
      </c>
      <c r="F39" s="736">
        <v>3000</v>
      </c>
    </row>
    <row r="40" spans="1:6">
      <c r="A40" s="748"/>
      <c r="B40" s="739" t="s">
        <v>1035</v>
      </c>
      <c r="C40" s="744">
        <v>6</v>
      </c>
      <c r="D40" s="744">
        <v>6</v>
      </c>
      <c r="E40" s="745">
        <v>1000</v>
      </c>
      <c r="F40" s="736">
        <v>36000</v>
      </c>
    </row>
    <row r="41" spans="1:6" ht="31.5">
      <c r="A41" s="748"/>
      <c r="B41" s="771" t="s">
        <v>1813</v>
      </c>
      <c r="C41" s="772"/>
      <c r="D41" s="772"/>
      <c r="E41" s="773"/>
      <c r="F41" s="774">
        <v>200000</v>
      </c>
    </row>
    <row r="42" spans="1:6">
      <c r="A42" s="748"/>
      <c r="B42" s="739" t="s">
        <v>1039</v>
      </c>
      <c r="C42" s="744">
        <v>40</v>
      </c>
      <c r="D42" s="744"/>
      <c r="E42" s="745">
        <v>5000</v>
      </c>
      <c r="F42" s="736">
        <v>200000</v>
      </c>
    </row>
    <row r="43" spans="1:6">
      <c r="A43" s="748"/>
      <c r="B43" s="771" t="s">
        <v>1040</v>
      </c>
      <c r="C43" s="772"/>
      <c r="D43" s="772"/>
      <c r="E43" s="773"/>
      <c r="F43" s="774">
        <v>300000</v>
      </c>
    </row>
    <row r="44" spans="1:6">
      <c r="A44" s="748"/>
      <c r="B44" s="739" t="s">
        <v>1041</v>
      </c>
      <c r="C44" s="744">
        <v>1</v>
      </c>
      <c r="D44" s="744" t="s">
        <v>1038</v>
      </c>
      <c r="E44" s="745">
        <v>400000</v>
      </c>
      <c r="F44" s="736">
        <v>300000</v>
      </c>
    </row>
    <row r="45" spans="1:6">
      <c r="A45" s="748"/>
      <c r="B45" s="771" t="s">
        <v>1042</v>
      </c>
      <c r="C45" s="772"/>
      <c r="D45" s="772"/>
      <c r="E45" s="773"/>
      <c r="F45" s="774">
        <v>200000</v>
      </c>
    </row>
    <row r="46" spans="1:6">
      <c r="A46" s="748"/>
      <c r="B46" s="739" t="s">
        <v>1043</v>
      </c>
      <c r="C46" s="744">
        <v>4</v>
      </c>
      <c r="D46" s="744"/>
      <c r="E46" s="745">
        <v>50000</v>
      </c>
      <c r="F46" s="736">
        <v>200000</v>
      </c>
    </row>
    <row r="47" spans="1:6">
      <c r="A47" s="748"/>
      <c r="B47" s="771" t="s">
        <v>1044</v>
      </c>
      <c r="C47" s="772"/>
      <c r="D47" s="772"/>
      <c r="E47" s="773"/>
      <c r="F47" s="774">
        <v>96000</v>
      </c>
    </row>
    <row r="48" spans="1:6">
      <c r="A48" s="748"/>
      <c r="B48" s="739" t="s">
        <v>1045</v>
      </c>
      <c r="C48" s="744">
        <v>12</v>
      </c>
      <c r="D48" s="744"/>
      <c r="E48" s="745">
        <v>8000</v>
      </c>
      <c r="F48" s="736">
        <v>96000</v>
      </c>
    </row>
    <row r="49" spans="1:6">
      <c r="A49" s="748"/>
      <c r="B49" s="771" t="s">
        <v>1060</v>
      </c>
      <c r="C49" s="772"/>
      <c r="D49" s="772"/>
      <c r="E49" s="773"/>
      <c r="F49" s="777">
        <v>2127.5</v>
      </c>
    </row>
    <row r="50" spans="1:6">
      <c r="A50" s="735"/>
      <c r="B50" s="739" t="s">
        <v>1061</v>
      </c>
      <c r="C50" s="744">
        <v>1</v>
      </c>
      <c r="D50" s="744"/>
      <c r="E50" s="745"/>
      <c r="F50" s="776">
        <v>2127.5</v>
      </c>
    </row>
    <row r="51" spans="1:6">
      <c r="B51" s="740"/>
      <c r="C51" s="743"/>
      <c r="D51" s="743"/>
      <c r="E51" s="743"/>
      <c r="F51" s="775"/>
    </row>
    <row r="52" spans="1:6">
      <c r="B52" s="741" t="s">
        <v>82</v>
      </c>
      <c r="C52" s="743"/>
      <c r="D52" s="743"/>
      <c r="E52" s="743"/>
      <c r="F52" s="58"/>
    </row>
  </sheetData>
  <mergeCells count="6">
    <mergeCell ref="F4:F6"/>
    <mergeCell ref="A1:F1"/>
    <mergeCell ref="A2:F2"/>
    <mergeCell ref="C4:C6"/>
    <mergeCell ref="D4:D6"/>
    <mergeCell ref="E4:E6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250"/>
  <sheetViews>
    <sheetView workbookViewId="0">
      <selection sqref="A1:C1"/>
    </sheetView>
  </sheetViews>
  <sheetFormatPr defaultColWidth="9" defaultRowHeight="18.75"/>
  <cols>
    <col min="1" max="1" width="5.375" style="836" customWidth="1"/>
    <col min="2" max="2" width="88" style="94" customWidth="1"/>
    <col min="3" max="3" width="14.875" style="1010" customWidth="1"/>
    <col min="4" max="4" width="9" style="94" customWidth="1"/>
    <col min="5" max="5" width="12.25" style="94" bestFit="1" customWidth="1"/>
    <col min="6" max="256" width="9" style="94"/>
    <col min="257" max="257" width="5.375" style="94" customWidth="1"/>
    <col min="258" max="258" width="88" style="94" customWidth="1"/>
    <col min="259" max="259" width="14.875" style="94" customWidth="1"/>
    <col min="260" max="260" width="9" style="94" customWidth="1"/>
    <col min="261" max="261" width="12.25" style="94" bestFit="1" customWidth="1"/>
    <col min="262" max="512" width="9" style="94"/>
    <col min="513" max="513" width="5.375" style="94" customWidth="1"/>
    <col min="514" max="514" width="88" style="94" customWidth="1"/>
    <col min="515" max="515" width="14.875" style="94" customWidth="1"/>
    <col min="516" max="516" width="9" style="94" customWidth="1"/>
    <col min="517" max="517" width="12.25" style="94" bestFit="1" customWidth="1"/>
    <col min="518" max="768" width="9" style="94"/>
    <col min="769" max="769" width="5.375" style="94" customWidth="1"/>
    <col min="770" max="770" width="88" style="94" customWidth="1"/>
    <col min="771" max="771" width="14.875" style="94" customWidth="1"/>
    <col min="772" max="772" width="9" style="94" customWidth="1"/>
    <col min="773" max="773" width="12.25" style="94" bestFit="1" customWidth="1"/>
    <col min="774" max="1024" width="9" style="94"/>
    <col min="1025" max="1025" width="5.375" style="94" customWidth="1"/>
    <col min="1026" max="1026" width="88" style="94" customWidth="1"/>
    <col min="1027" max="1027" width="14.875" style="94" customWidth="1"/>
    <col min="1028" max="1028" width="9" style="94" customWidth="1"/>
    <col min="1029" max="1029" width="12.25" style="94" bestFit="1" customWidth="1"/>
    <col min="1030" max="1280" width="9" style="94"/>
    <col min="1281" max="1281" width="5.375" style="94" customWidth="1"/>
    <col min="1282" max="1282" width="88" style="94" customWidth="1"/>
    <col min="1283" max="1283" width="14.875" style="94" customWidth="1"/>
    <col min="1284" max="1284" width="9" style="94" customWidth="1"/>
    <col min="1285" max="1285" width="12.25" style="94" bestFit="1" customWidth="1"/>
    <col min="1286" max="1536" width="9" style="94"/>
    <col min="1537" max="1537" width="5.375" style="94" customWidth="1"/>
    <col min="1538" max="1538" width="88" style="94" customWidth="1"/>
    <col min="1539" max="1539" width="14.875" style="94" customWidth="1"/>
    <col min="1540" max="1540" width="9" style="94" customWidth="1"/>
    <col min="1541" max="1541" width="12.25" style="94" bestFit="1" customWidth="1"/>
    <col min="1542" max="1792" width="9" style="94"/>
    <col min="1793" max="1793" width="5.375" style="94" customWidth="1"/>
    <col min="1794" max="1794" width="88" style="94" customWidth="1"/>
    <col min="1795" max="1795" width="14.875" style="94" customWidth="1"/>
    <col min="1796" max="1796" width="9" style="94" customWidth="1"/>
    <col min="1797" max="1797" width="12.25" style="94" bestFit="1" customWidth="1"/>
    <col min="1798" max="2048" width="9" style="94"/>
    <col min="2049" max="2049" width="5.375" style="94" customWidth="1"/>
    <col min="2050" max="2050" width="88" style="94" customWidth="1"/>
    <col min="2051" max="2051" width="14.875" style="94" customWidth="1"/>
    <col min="2052" max="2052" width="9" style="94" customWidth="1"/>
    <col min="2053" max="2053" width="12.25" style="94" bestFit="1" customWidth="1"/>
    <col min="2054" max="2304" width="9" style="94"/>
    <col min="2305" max="2305" width="5.375" style="94" customWidth="1"/>
    <col min="2306" max="2306" width="88" style="94" customWidth="1"/>
    <col min="2307" max="2307" width="14.875" style="94" customWidth="1"/>
    <col min="2308" max="2308" width="9" style="94" customWidth="1"/>
    <col min="2309" max="2309" width="12.25" style="94" bestFit="1" customWidth="1"/>
    <col min="2310" max="2560" width="9" style="94"/>
    <col min="2561" max="2561" width="5.375" style="94" customWidth="1"/>
    <col min="2562" max="2562" width="88" style="94" customWidth="1"/>
    <col min="2563" max="2563" width="14.875" style="94" customWidth="1"/>
    <col min="2564" max="2564" width="9" style="94" customWidth="1"/>
    <col min="2565" max="2565" width="12.25" style="94" bestFit="1" customWidth="1"/>
    <col min="2566" max="2816" width="9" style="94"/>
    <col min="2817" max="2817" width="5.375" style="94" customWidth="1"/>
    <col min="2818" max="2818" width="88" style="94" customWidth="1"/>
    <col min="2819" max="2819" width="14.875" style="94" customWidth="1"/>
    <col min="2820" max="2820" width="9" style="94" customWidth="1"/>
    <col min="2821" max="2821" width="12.25" style="94" bestFit="1" customWidth="1"/>
    <col min="2822" max="3072" width="9" style="94"/>
    <col min="3073" max="3073" width="5.375" style="94" customWidth="1"/>
    <col min="3074" max="3074" width="88" style="94" customWidth="1"/>
    <col min="3075" max="3075" width="14.875" style="94" customWidth="1"/>
    <col min="3076" max="3076" width="9" style="94" customWidth="1"/>
    <col min="3077" max="3077" width="12.25" style="94" bestFit="1" customWidth="1"/>
    <col min="3078" max="3328" width="9" style="94"/>
    <col min="3329" max="3329" width="5.375" style="94" customWidth="1"/>
    <col min="3330" max="3330" width="88" style="94" customWidth="1"/>
    <col min="3331" max="3331" width="14.875" style="94" customWidth="1"/>
    <col min="3332" max="3332" width="9" style="94" customWidth="1"/>
    <col min="3333" max="3333" width="12.25" style="94" bestFit="1" customWidth="1"/>
    <col min="3334" max="3584" width="9" style="94"/>
    <col min="3585" max="3585" width="5.375" style="94" customWidth="1"/>
    <col min="3586" max="3586" width="88" style="94" customWidth="1"/>
    <col min="3587" max="3587" width="14.875" style="94" customWidth="1"/>
    <col min="3588" max="3588" width="9" style="94" customWidth="1"/>
    <col min="3589" max="3589" width="12.25" style="94" bestFit="1" customWidth="1"/>
    <col min="3590" max="3840" width="9" style="94"/>
    <col min="3841" max="3841" width="5.375" style="94" customWidth="1"/>
    <col min="3842" max="3842" width="88" style="94" customWidth="1"/>
    <col min="3843" max="3843" width="14.875" style="94" customWidth="1"/>
    <col min="3844" max="3844" width="9" style="94" customWidth="1"/>
    <col min="3845" max="3845" width="12.25" style="94" bestFit="1" customWidth="1"/>
    <col min="3846" max="4096" width="9" style="94"/>
    <col min="4097" max="4097" width="5.375" style="94" customWidth="1"/>
    <col min="4098" max="4098" width="88" style="94" customWidth="1"/>
    <col min="4099" max="4099" width="14.875" style="94" customWidth="1"/>
    <col min="4100" max="4100" width="9" style="94" customWidth="1"/>
    <col min="4101" max="4101" width="12.25" style="94" bestFit="1" customWidth="1"/>
    <col min="4102" max="4352" width="9" style="94"/>
    <col min="4353" max="4353" width="5.375" style="94" customWidth="1"/>
    <col min="4354" max="4354" width="88" style="94" customWidth="1"/>
    <col min="4355" max="4355" width="14.875" style="94" customWidth="1"/>
    <col min="4356" max="4356" width="9" style="94" customWidth="1"/>
    <col min="4357" max="4357" width="12.25" style="94" bestFit="1" customWidth="1"/>
    <col min="4358" max="4608" width="9" style="94"/>
    <col min="4609" max="4609" width="5.375" style="94" customWidth="1"/>
    <col min="4610" max="4610" width="88" style="94" customWidth="1"/>
    <col min="4611" max="4611" width="14.875" style="94" customWidth="1"/>
    <col min="4612" max="4612" width="9" style="94" customWidth="1"/>
    <col min="4613" max="4613" width="12.25" style="94" bestFit="1" customWidth="1"/>
    <col min="4614" max="4864" width="9" style="94"/>
    <col min="4865" max="4865" width="5.375" style="94" customWidth="1"/>
    <col min="4866" max="4866" width="88" style="94" customWidth="1"/>
    <col min="4867" max="4867" width="14.875" style="94" customWidth="1"/>
    <col min="4868" max="4868" width="9" style="94" customWidth="1"/>
    <col min="4869" max="4869" width="12.25" style="94" bestFit="1" customWidth="1"/>
    <col min="4870" max="5120" width="9" style="94"/>
    <col min="5121" max="5121" width="5.375" style="94" customWidth="1"/>
    <col min="5122" max="5122" width="88" style="94" customWidth="1"/>
    <col min="5123" max="5123" width="14.875" style="94" customWidth="1"/>
    <col min="5124" max="5124" width="9" style="94" customWidth="1"/>
    <col min="5125" max="5125" width="12.25" style="94" bestFit="1" customWidth="1"/>
    <col min="5126" max="5376" width="9" style="94"/>
    <col min="5377" max="5377" width="5.375" style="94" customWidth="1"/>
    <col min="5378" max="5378" width="88" style="94" customWidth="1"/>
    <col min="5379" max="5379" width="14.875" style="94" customWidth="1"/>
    <col min="5380" max="5380" width="9" style="94" customWidth="1"/>
    <col min="5381" max="5381" width="12.25" style="94" bestFit="1" customWidth="1"/>
    <col min="5382" max="5632" width="9" style="94"/>
    <col min="5633" max="5633" width="5.375" style="94" customWidth="1"/>
    <col min="5634" max="5634" width="88" style="94" customWidth="1"/>
    <col min="5635" max="5635" width="14.875" style="94" customWidth="1"/>
    <col min="5636" max="5636" width="9" style="94" customWidth="1"/>
    <col min="5637" max="5637" width="12.25" style="94" bestFit="1" customWidth="1"/>
    <col min="5638" max="5888" width="9" style="94"/>
    <col min="5889" max="5889" width="5.375" style="94" customWidth="1"/>
    <col min="5890" max="5890" width="88" style="94" customWidth="1"/>
    <col min="5891" max="5891" width="14.875" style="94" customWidth="1"/>
    <col min="5892" max="5892" width="9" style="94" customWidth="1"/>
    <col min="5893" max="5893" width="12.25" style="94" bestFit="1" customWidth="1"/>
    <col min="5894" max="6144" width="9" style="94"/>
    <col min="6145" max="6145" width="5.375" style="94" customWidth="1"/>
    <col min="6146" max="6146" width="88" style="94" customWidth="1"/>
    <col min="6147" max="6147" width="14.875" style="94" customWidth="1"/>
    <col min="6148" max="6148" width="9" style="94" customWidth="1"/>
    <col min="6149" max="6149" width="12.25" style="94" bestFit="1" customWidth="1"/>
    <col min="6150" max="6400" width="9" style="94"/>
    <col min="6401" max="6401" width="5.375" style="94" customWidth="1"/>
    <col min="6402" max="6402" width="88" style="94" customWidth="1"/>
    <col min="6403" max="6403" width="14.875" style="94" customWidth="1"/>
    <col min="6404" max="6404" width="9" style="94" customWidth="1"/>
    <col min="6405" max="6405" width="12.25" style="94" bestFit="1" customWidth="1"/>
    <col min="6406" max="6656" width="9" style="94"/>
    <col min="6657" max="6657" width="5.375" style="94" customWidth="1"/>
    <col min="6658" max="6658" width="88" style="94" customWidth="1"/>
    <col min="6659" max="6659" width="14.875" style="94" customWidth="1"/>
    <col min="6660" max="6660" width="9" style="94" customWidth="1"/>
    <col min="6661" max="6661" width="12.25" style="94" bestFit="1" customWidth="1"/>
    <col min="6662" max="6912" width="9" style="94"/>
    <col min="6913" max="6913" width="5.375" style="94" customWidth="1"/>
    <col min="6914" max="6914" width="88" style="94" customWidth="1"/>
    <col min="6915" max="6915" width="14.875" style="94" customWidth="1"/>
    <col min="6916" max="6916" width="9" style="94" customWidth="1"/>
    <col min="6917" max="6917" width="12.25" style="94" bestFit="1" customWidth="1"/>
    <col min="6918" max="7168" width="9" style="94"/>
    <col min="7169" max="7169" width="5.375" style="94" customWidth="1"/>
    <col min="7170" max="7170" width="88" style="94" customWidth="1"/>
    <col min="7171" max="7171" width="14.875" style="94" customWidth="1"/>
    <col min="7172" max="7172" width="9" style="94" customWidth="1"/>
    <col min="7173" max="7173" width="12.25" style="94" bestFit="1" customWidth="1"/>
    <col min="7174" max="7424" width="9" style="94"/>
    <col min="7425" max="7425" width="5.375" style="94" customWidth="1"/>
    <col min="7426" max="7426" width="88" style="94" customWidth="1"/>
    <col min="7427" max="7427" width="14.875" style="94" customWidth="1"/>
    <col min="7428" max="7428" width="9" style="94" customWidth="1"/>
    <col min="7429" max="7429" width="12.25" style="94" bestFit="1" customWidth="1"/>
    <col min="7430" max="7680" width="9" style="94"/>
    <col min="7681" max="7681" width="5.375" style="94" customWidth="1"/>
    <col min="7682" max="7682" width="88" style="94" customWidth="1"/>
    <col min="7683" max="7683" width="14.875" style="94" customWidth="1"/>
    <col min="7684" max="7684" width="9" style="94" customWidth="1"/>
    <col min="7685" max="7685" width="12.25" style="94" bestFit="1" customWidth="1"/>
    <col min="7686" max="7936" width="9" style="94"/>
    <col min="7937" max="7937" width="5.375" style="94" customWidth="1"/>
    <col min="7938" max="7938" width="88" style="94" customWidth="1"/>
    <col min="7939" max="7939" width="14.875" style="94" customWidth="1"/>
    <col min="7940" max="7940" width="9" style="94" customWidth="1"/>
    <col min="7941" max="7941" width="12.25" style="94" bestFit="1" customWidth="1"/>
    <col min="7942" max="8192" width="9" style="94"/>
    <col min="8193" max="8193" width="5.375" style="94" customWidth="1"/>
    <col min="8194" max="8194" width="88" style="94" customWidth="1"/>
    <col min="8195" max="8195" width="14.875" style="94" customWidth="1"/>
    <col min="8196" max="8196" width="9" style="94" customWidth="1"/>
    <col min="8197" max="8197" width="12.25" style="94" bestFit="1" customWidth="1"/>
    <col min="8198" max="8448" width="9" style="94"/>
    <col min="8449" max="8449" width="5.375" style="94" customWidth="1"/>
    <col min="8450" max="8450" width="88" style="94" customWidth="1"/>
    <col min="8451" max="8451" width="14.875" style="94" customWidth="1"/>
    <col min="8452" max="8452" width="9" style="94" customWidth="1"/>
    <col min="8453" max="8453" width="12.25" style="94" bestFit="1" customWidth="1"/>
    <col min="8454" max="8704" width="9" style="94"/>
    <col min="8705" max="8705" width="5.375" style="94" customWidth="1"/>
    <col min="8706" max="8706" width="88" style="94" customWidth="1"/>
    <col min="8707" max="8707" width="14.875" style="94" customWidth="1"/>
    <col min="8708" max="8708" width="9" style="94" customWidth="1"/>
    <col min="8709" max="8709" width="12.25" style="94" bestFit="1" customWidth="1"/>
    <col min="8710" max="8960" width="9" style="94"/>
    <col min="8961" max="8961" width="5.375" style="94" customWidth="1"/>
    <col min="8962" max="8962" width="88" style="94" customWidth="1"/>
    <col min="8963" max="8963" width="14.875" style="94" customWidth="1"/>
    <col min="8964" max="8964" width="9" style="94" customWidth="1"/>
    <col min="8965" max="8965" width="12.25" style="94" bestFit="1" customWidth="1"/>
    <col min="8966" max="9216" width="9" style="94"/>
    <col min="9217" max="9217" width="5.375" style="94" customWidth="1"/>
    <col min="9218" max="9218" width="88" style="94" customWidth="1"/>
    <col min="9219" max="9219" width="14.875" style="94" customWidth="1"/>
    <col min="9220" max="9220" width="9" style="94" customWidth="1"/>
    <col min="9221" max="9221" width="12.25" style="94" bestFit="1" customWidth="1"/>
    <col min="9222" max="9472" width="9" style="94"/>
    <col min="9473" max="9473" width="5.375" style="94" customWidth="1"/>
    <col min="9474" max="9474" width="88" style="94" customWidth="1"/>
    <col min="9475" max="9475" width="14.875" style="94" customWidth="1"/>
    <col min="9476" max="9476" width="9" style="94" customWidth="1"/>
    <col min="9477" max="9477" width="12.25" style="94" bestFit="1" customWidth="1"/>
    <col min="9478" max="9728" width="9" style="94"/>
    <col min="9729" max="9729" width="5.375" style="94" customWidth="1"/>
    <col min="9730" max="9730" width="88" style="94" customWidth="1"/>
    <col min="9731" max="9731" width="14.875" style="94" customWidth="1"/>
    <col min="9732" max="9732" width="9" style="94" customWidth="1"/>
    <col min="9733" max="9733" width="12.25" style="94" bestFit="1" customWidth="1"/>
    <col min="9734" max="9984" width="9" style="94"/>
    <col min="9985" max="9985" width="5.375" style="94" customWidth="1"/>
    <col min="9986" max="9986" width="88" style="94" customWidth="1"/>
    <col min="9987" max="9987" width="14.875" style="94" customWidth="1"/>
    <col min="9988" max="9988" width="9" style="94" customWidth="1"/>
    <col min="9989" max="9989" width="12.25" style="94" bestFit="1" customWidth="1"/>
    <col min="9990" max="10240" width="9" style="94"/>
    <col min="10241" max="10241" width="5.375" style="94" customWidth="1"/>
    <col min="10242" max="10242" width="88" style="94" customWidth="1"/>
    <col min="10243" max="10243" width="14.875" style="94" customWidth="1"/>
    <col min="10244" max="10244" width="9" style="94" customWidth="1"/>
    <col min="10245" max="10245" width="12.25" style="94" bestFit="1" customWidth="1"/>
    <col min="10246" max="10496" width="9" style="94"/>
    <col min="10497" max="10497" width="5.375" style="94" customWidth="1"/>
    <col min="10498" max="10498" width="88" style="94" customWidth="1"/>
    <col min="10499" max="10499" width="14.875" style="94" customWidth="1"/>
    <col min="10500" max="10500" width="9" style="94" customWidth="1"/>
    <col min="10501" max="10501" width="12.25" style="94" bestFit="1" customWidth="1"/>
    <col min="10502" max="10752" width="9" style="94"/>
    <col min="10753" max="10753" width="5.375" style="94" customWidth="1"/>
    <col min="10754" max="10754" width="88" style="94" customWidth="1"/>
    <col min="10755" max="10755" width="14.875" style="94" customWidth="1"/>
    <col min="10756" max="10756" width="9" style="94" customWidth="1"/>
    <col min="10757" max="10757" width="12.25" style="94" bestFit="1" customWidth="1"/>
    <col min="10758" max="11008" width="9" style="94"/>
    <col min="11009" max="11009" width="5.375" style="94" customWidth="1"/>
    <col min="11010" max="11010" width="88" style="94" customWidth="1"/>
    <col min="11011" max="11011" width="14.875" style="94" customWidth="1"/>
    <col min="11012" max="11012" width="9" style="94" customWidth="1"/>
    <col min="11013" max="11013" width="12.25" style="94" bestFit="1" customWidth="1"/>
    <col min="11014" max="11264" width="9" style="94"/>
    <col min="11265" max="11265" width="5.375" style="94" customWidth="1"/>
    <col min="11266" max="11266" width="88" style="94" customWidth="1"/>
    <col min="11267" max="11267" width="14.875" style="94" customWidth="1"/>
    <col min="11268" max="11268" width="9" style="94" customWidth="1"/>
    <col min="11269" max="11269" width="12.25" style="94" bestFit="1" customWidth="1"/>
    <col min="11270" max="11520" width="9" style="94"/>
    <col min="11521" max="11521" width="5.375" style="94" customWidth="1"/>
    <col min="11522" max="11522" width="88" style="94" customWidth="1"/>
    <col min="11523" max="11523" width="14.875" style="94" customWidth="1"/>
    <col min="11524" max="11524" width="9" style="94" customWidth="1"/>
    <col min="11525" max="11525" width="12.25" style="94" bestFit="1" customWidth="1"/>
    <col min="11526" max="11776" width="9" style="94"/>
    <col min="11777" max="11777" width="5.375" style="94" customWidth="1"/>
    <col min="11778" max="11778" width="88" style="94" customWidth="1"/>
    <col min="11779" max="11779" width="14.875" style="94" customWidth="1"/>
    <col min="11780" max="11780" width="9" style="94" customWidth="1"/>
    <col min="11781" max="11781" width="12.25" style="94" bestFit="1" customWidth="1"/>
    <col min="11782" max="12032" width="9" style="94"/>
    <col min="12033" max="12033" width="5.375" style="94" customWidth="1"/>
    <col min="12034" max="12034" width="88" style="94" customWidth="1"/>
    <col min="12035" max="12035" width="14.875" style="94" customWidth="1"/>
    <col min="12036" max="12036" width="9" style="94" customWidth="1"/>
    <col min="12037" max="12037" width="12.25" style="94" bestFit="1" customWidth="1"/>
    <col min="12038" max="12288" width="9" style="94"/>
    <col min="12289" max="12289" width="5.375" style="94" customWidth="1"/>
    <col min="12290" max="12290" width="88" style="94" customWidth="1"/>
    <col min="12291" max="12291" width="14.875" style="94" customWidth="1"/>
    <col min="12292" max="12292" width="9" style="94" customWidth="1"/>
    <col min="12293" max="12293" width="12.25" style="94" bestFit="1" customWidth="1"/>
    <col min="12294" max="12544" width="9" style="94"/>
    <col min="12545" max="12545" width="5.375" style="94" customWidth="1"/>
    <col min="12546" max="12546" width="88" style="94" customWidth="1"/>
    <col min="12547" max="12547" width="14.875" style="94" customWidth="1"/>
    <col min="12548" max="12548" width="9" style="94" customWidth="1"/>
    <col min="12549" max="12549" width="12.25" style="94" bestFit="1" customWidth="1"/>
    <col min="12550" max="12800" width="9" style="94"/>
    <col min="12801" max="12801" width="5.375" style="94" customWidth="1"/>
    <col min="12802" max="12802" width="88" style="94" customWidth="1"/>
    <col min="12803" max="12803" width="14.875" style="94" customWidth="1"/>
    <col min="12804" max="12804" width="9" style="94" customWidth="1"/>
    <col min="12805" max="12805" width="12.25" style="94" bestFit="1" customWidth="1"/>
    <col min="12806" max="13056" width="9" style="94"/>
    <col min="13057" max="13057" width="5.375" style="94" customWidth="1"/>
    <col min="13058" max="13058" width="88" style="94" customWidth="1"/>
    <col min="13059" max="13059" width="14.875" style="94" customWidth="1"/>
    <col min="13060" max="13060" width="9" style="94" customWidth="1"/>
    <col min="13061" max="13061" width="12.25" style="94" bestFit="1" customWidth="1"/>
    <col min="13062" max="13312" width="9" style="94"/>
    <col min="13313" max="13313" width="5.375" style="94" customWidth="1"/>
    <col min="13314" max="13314" width="88" style="94" customWidth="1"/>
    <col min="13315" max="13315" width="14.875" style="94" customWidth="1"/>
    <col min="13316" max="13316" width="9" style="94" customWidth="1"/>
    <col min="13317" max="13317" width="12.25" style="94" bestFit="1" customWidth="1"/>
    <col min="13318" max="13568" width="9" style="94"/>
    <col min="13569" max="13569" width="5.375" style="94" customWidth="1"/>
    <col min="13570" max="13570" width="88" style="94" customWidth="1"/>
    <col min="13571" max="13571" width="14.875" style="94" customWidth="1"/>
    <col min="13572" max="13572" width="9" style="94" customWidth="1"/>
    <col min="13573" max="13573" width="12.25" style="94" bestFit="1" customWidth="1"/>
    <col min="13574" max="13824" width="9" style="94"/>
    <col min="13825" max="13825" width="5.375" style="94" customWidth="1"/>
    <col min="13826" max="13826" width="88" style="94" customWidth="1"/>
    <col min="13827" max="13827" width="14.875" style="94" customWidth="1"/>
    <col min="13828" max="13828" width="9" style="94" customWidth="1"/>
    <col min="13829" max="13829" width="12.25" style="94" bestFit="1" customWidth="1"/>
    <col min="13830" max="14080" width="9" style="94"/>
    <col min="14081" max="14081" width="5.375" style="94" customWidth="1"/>
    <col min="14082" max="14082" width="88" style="94" customWidth="1"/>
    <col min="14083" max="14083" width="14.875" style="94" customWidth="1"/>
    <col min="14084" max="14084" width="9" style="94" customWidth="1"/>
    <col min="14085" max="14085" width="12.25" style="94" bestFit="1" customWidth="1"/>
    <col min="14086" max="14336" width="9" style="94"/>
    <col min="14337" max="14337" width="5.375" style="94" customWidth="1"/>
    <col min="14338" max="14338" width="88" style="94" customWidth="1"/>
    <col min="14339" max="14339" width="14.875" style="94" customWidth="1"/>
    <col min="14340" max="14340" width="9" style="94" customWidth="1"/>
    <col min="14341" max="14341" width="12.25" style="94" bestFit="1" customWidth="1"/>
    <col min="14342" max="14592" width="9" style="94"/>
    <col min="14593" max="14593" width="5.375" style="94" customWidth="1"/>
    <col min="14594" max="14594" width="88" style="94" customWidth="1"/>
    <col min="14595" max="14595" width="14.875" style="94" customWidth="1"/>
    <col min="14596" max="14596" width="9" style="94" customWidth="1"/>
    <col min="14597" max="14597" width="12.25" style="94" bestFit="1" customWidth="1"/>
    <col min="14598" max="14848" width="9" style="94"/>
    <col min="14849" max="14849" width="5.375" style="94" customWidth="1"/>
    <col min="14850" max="14850" width="88" style="94" customWidth="1"/>
    <col min="14851" max="14851" width="14.875" style="94" customWidth="1"/>
    <col min="14852" max="14852" width="9" style="94" customWidth="1"/>
    <col min="14853" max="14853" width="12.25" style="94" bestFit="1" customWidth="1"/>
    <col min="14854" max="15104" width="9" style="94"/>
    <col min="15105" max="15105" width="5.375" style="94" customWidth="1"/>
    <col min="15106" max="15106" width="88" style="94" customWidth="1"/>
    <col min="15107" max="15107" width="14.875" style="94" customWidth="1"/>
    <col min="15108" max="15108" width="9" style="94" customWidth="1"/>
    <col min="15109" max="15109" width="12.25" style="94" bestFit="1" customWidth="1"/>
    <col min="15110" max="15360" width="9" style="94"/>
    <col min="15361" max="15361" width="5.375" style="94" customWidth="1"/>
    <col min="15362" max="15362" width="88" style="94" customWidth="1"/>
    <col min="15363" max="15363" width="14.875" style="94" customWidth="1"/>
    <col min="15364" max="15364" width="9" style="94" customWidth="1"/>
    <col min="15365" max="15365" width="12.25" style="94" bestFit="1" customWidth="1"/>
    <col min="15366" max="15616" width="9" style="94"/>
    <col min="15617" max="15617" width="5.375" style="94" customWidth="1"/>
    <col min="15618" max="15618" width="88" style="94" customWidth="1"/>
    <col min="15619" max="15619" width="14.875" style="94" customWidth="1"/>
    <col min="15620" max="15620" width="9" style="94" customWidth="1"/>
    <col min="15621" max="15621" width="12.25" style="94" bestFit="1" customWidth="1"/>
    <col min="15622" max="15872" width="9" style="94"/>
    <col min="15873" max="15873" width="5.375" style="94" customWidth="1"/>
    <col min="15874" max="15874" width="88" style="94" customWidth="1"/>
    <col min="15875" max="15875" width="14.875" style="94" customWidth="1"/>
    <col min="15876" max="15876" width="9" style="94" customWidth="1"/>
    <col min="15877" max="15877" width="12.25" style="94" bestFit="1" customWidth="1"/>
    <col min="15878" max="16128" width="9" style="94"/>
    <col min="16129" max="16129" width="5.375" style="94" customWidth="1"/>
    <col min="16130" max="16130" width="88" style="94" customWidth="1"/>
    <col min="16131" max="16131" width="14.875" style="94" customWidth="1"/>
    <col min="16132" max="16132" width="9" style="94" customWidth="1"/>
    <col min="16133" max="16133" width="12.25" style="94" bestFit="1" customWidth="1"/>
    <col min="16134" max="16384" width="9" style="94"/>
  </cols>
  <sheetData>
    <row r="1" spans="1:5" ht="21">
      <c r="A1" s="1367" t="s">
        <v>1105</v>
      </c>
      <c r="B1" s="1367"/>
      <c r="C1" s="1367"/>
    </row>
    <row r="2" spans="1:5" ht="21">
      <c r="A2" s="835"/>
      <c r="B2" s="835" t="s">
        <v>1369</v>
      </c>
      <c r="C2" s="937"/>
    </row>
    <row r="3" spans="1:5" ht="21">
      <c r="A3" s="1368" t="s">
        <v>1370</v>
      </c>
      <c r="B3" s="1368"/>
      <c r="C3" s="1368"/>
    </row>
    <row r="4" spans="1:5" ht="21.75" thickBot="1">
      <c r="A4" s="867"/>
      <c r="B4" s="867"/>
      <c r="C4" s="938"/>
    </row>
    <row r="5" spans="1:5" s="836" customFormat="1">
      <c r="A5" s="95"/>
      <c r="B5" s="95" t="s">
        <v>0</v>
      </c>
      <c r="C5" s="939" t="s">
        <v>1</v>
      </c>
      <c r="E5" s="940"/>
    </row>
    <row r="6" spans="1:5" ht="19.5" thickBot="1">
      <c r="A6" s="839"/>
      <c r="B6" s="840" t="s">
        <v>1371</v>
      </c>
      <c r="C6" s="941" t="s">
        <v>2</v>
      </c>
    </row>
    <row r="7" spans="1:5" ht="19.5" thickBot="1">
      <c r="A7" s="869">
        <v>1</v>
      </c>
      <c r="B7" s="870" t="s">
        <v>1046</v>
      </c>
      <c r="C7" s="942">
        <f>SUM(C8:C22)</f>
        <v>26694000</v>
      </c>
    </row>
    <row r="8" spans="1:5">
      <c r="A8" s="839"/>
      <c r="B8" s="943" t="s">
        <v>1372</v>
      </c>
      <c r="C8" s="944">
        <v>4410000</v>
      </c>
    </row>
    <row r="9" spans="1:5">
      <c r="A9" s="839"/>
      <c r="B9" s="945" t="s">
        <v>1373</v>
      </c>
      <c r="C9" s="946">
        <v>2772000</v>
      </c>
    </row>
    <row r="10" spans="1:5">
      <c r="A10" s="839"/>
      <c r="B10" s="945" t="s">
        <v>1374</v>
      </c>
      <c r="C10" s="946">
        <v>2436000</v>
      </c>
    </row>
    <row r="11" spans="1:5">
      <c r="A11" s="839"/>
      <c r="B11" s="945" t="s">
        <v>1375</v>
      </c>
      <c r="C11" s="946">
        <v>1450000</v>
      </c>
    </row>
    <row r="12" spans="1:5">
      <c r="A12" s="839"/>
      <c r="B12" s="945" t="s">
        <v>1376</v>
      </c>
      <c r="C12" s="946">
        <v>1624000</v>
      </c>
    </row>
    <row r="13" spans="1:5">
      <c r="A13" s="839"/>
      <c r="B13" s="945" t="s">
        <v>1377</v>
      </c>
      <c r="C13" s="946">
        <v>1044000</v>
      </c>
    </row>
    <row r="14" spans="1:5">
      <c r="A14" s="839"/>
      <c r="B14" s="945" t="s">
        <v>1378</v>
      </c>
      <c r="C14" s="946">
        <v>290000</v>
      </c>
    </row>
    <row r="15" spans="1:5">
      <c r="A15" s="839"/>
      <c r="B15" s="947" t="s">
        <v>1379</v>
      </c>
      <c r="C15" s="946">
        <v>2800000</v>
      </c>
    </row>
    <row r="16" spans="1:5">
      <c r="A16" s="839"/>
      <c r="B16" s="943" t="s">
        <v>1380</v>
      </c>
      <c r="C16" s="946">
        <v>688000</v>
      </c>
    </row>
    <row r="17" spans="1:3" ht="18.75" customHeight="1">
      <c r="A17" s="839"/>
      <c r="B17" s="948" t="s">
        <v>1381</v>
      </c>
      <c r="C17" s="949">
        <v>700000</v>
      </c>
    </row>
    <row r="18" spans="1:3">
      <c r="A18" s="839"/>
      <c r="B18" s="945" t="s">
        <v>1382</v>
      </c>
      <c r="C18" s="946">
        <v>2450000</v>
      </c>
    </row>
    <row r="19" spans="1:3">
      <c r="A19" s="839"/>
      <c r="B19" s="945" t="s">
        <v>1383</v>
      </c>
      <c r="C19" s="946">
        <v>2100000</v>
      </c>
    </row>
    <row r="20" spans="1:3">
      <c r="A20" s="839"/>
      <c r="B20" s="945" t="s">
        <v>1384</v>
      </c>
      <c r="C20" s="946">
        <v>1500000</v>
      </c>
    </row>
    <row r="21" spans="1:3" s="101" customFormat="1" ht="23.25" customHeight="1" thickBot="1">
      <c r="A21" s="98"/>
      <c r="B21" s="945" t="s">
        <v>1385</v>
      </c>
      <c r="C21" s="950">
        <v>1350000</v>
      </c>
    </row>
    <row r="22" spans="1:3" s="105" customFormat="1" ht="26.25" customHeight="1" thickBot="1">
      <c r="A22" s="869">
        <v>2</v>
      </c>
      <c r="B22" s="870" t="s">
        <v>1051</v>
      </c>
      <c r="C22" s="950">
        <v>1080000</v>
      </c>
    </row>
    <row r="23" spans="1:3" s="105" customFormat="1" ht="26.25" customHeight="1" thickBot="1">
      <c r="A23" s="869"/>
      <c r="B23" s="947" t="s">
        <v>1386</v>
      </c>
      <c r="C23" s="950">
        <v>1080000</v>
      </c>
    </row>
    <row r="24" spans="1:3" s="105" customFormat="1" ht="26.25" customHeight="1" thickBot="1">
      <c r="A24" s="869">
        <v>3</v>
      </c>
      <c r="B24" s="870" t="s">
        <v>1387</v>
      </c>
      <c r="C24" s="951">
        <v>31306000</v>
      </c>
    </row>
    <row r="25" spans="1:3" s="105" customFormat="1" ht="26.25" customHeight="1" thickBot="1">
      <c r="A25" s="869">
        <v>3.1</v>
      </c>
      <c r="B25" s="870" t="s">
        <v>1816</v>
      </c>
      <c r="C25" s="952">
        <v>1561500</v>
      </c>
    </row>
    <row r="26" spans="1:3" s="101" customFormat="1" ht="23.25" customHeight="1">
      <c r="A26" s="110"/>
      <c r="B26" s="178" t="s">
        <v>1388</v>
      </c>
      <c r="C26" s="953">
        <v>40000</v>
      </c>
    </row>
    <row r="27" spans="1:3" s="101" customFormat="1" ht="23.25" customHeight="1">
      <c r="A27" s="110"/>
      <c r="B27" s="112" t="s">
        <v>1389</v>
      </c>
      <c r="C27" s="954">
        <v>108000</v>
      </c>
    </row>
    <row r="28" spans="1:3" s="101" customFormat="1" ht="23.25" customHeight="1">
      <c r="A28" s="110"/>
      <c r="B28" s="112" t="s">
        <v>1390</v>
      </c>
      <c r="C28" s="954">
        <v>540000</v>
      </c>
    </row>
    <row r="29" spans="1:3" s="101" customFormat="1" ht="23.25" customHeight="1">
      <c r="A29" s="110"/>
      <c r="B29" s="898" t="s">
        <v>1391</v>
      </c>
      <c r="C29" s="954">
        <v>337500</v>
      </c>
    </row>
    <row r="30" spans="1:3" s="101" customFormat="1" ht="23.25" customHeight="1">
      <c r="A30" s="110"/>
      <c r="B30" s="178" t="s">
        <v>1392</v>
      </c>
      <c r="C30" s="954">
        <v>318000</v>
      </c>
    </row>
    <row r="31" spans="1:3" s="101" customFormat="1" ht="23.25" customHeight="1">
      <c r="A31" s="110"/>
      <c r="B31" s="955" t="s">
        <v>1393</v>
      </c>
      <c r="C31" s="954">
        <v>10000</v>
      </c>
    </row>
    <row r="32" spans="1:3" s="101" customFormat="1" ht="23.25" customHeight="1">
      <c r="A32" s="110"/>
      <c r="B32" s="956" t="s">
        <v>1394</v>
      </c>
      <c r="C32" s="957">
        <v>3000</v>
      </c>
    </row>
    <row r="33" spans="1:3" s="105" customFormat="1" ht="21" customHeight="1">
      <c r="A33" s="958"/>
      <c r="B33" s="956" t="s">
        <v>1395</v>
      </c>
      <c r="C33" s="957">
        <v>10000</v>
      </c>
    </row>
    <row r="34" spans="1:3" s="105" customFormat="1">
      <c r="A34" s="958"/>
      <c r="B34" s="956" t="s">
        <v>1396</v>
      </c>
      <c r="C34" s="944">
        <v>10000</v>
      </c>
    </row>
    <row r="35" spans="1:3" s="105" customFormat="1">
      <c r="A35" s="959"/>
      <c r="B35" s="956" t="s">
        <v>1397</v>
      </c>
      <c r="C35" s="946">
        <v>30000</v>
      </c>
    </row>
    <row r="36" spans="1:3" s="105" customFormat="1">
      <c r="A36" s="959"/>
      <c r="B36" s="960" t="s">
        <v>1398</v>
      </c>
      <c r="C36" s="961">
        <v>155000</v>
      </c>
    </row>
    <row r="37" spans="1:3" s="105" customFormat="1">
      <c r="A37" s="959"/>
      <c r="B37" s="962" t="s">
        <v>1399</v>
      </c>
      <c r="C37" s="957">
        <v>90000</v>
      </c>
    </row>
    <row r="38" spans="1:3" s="105" customFormat="1">
      <c r="A38" s="959"/>
      <c r="B38" s="963" t="s">
        <v>1400</v>
      </c>
      <c r="C38" s="957">
        <v>30000</v>
      </c>
    </row>
    <row r="39" spans="1:3" s="105" customFormat="1" ht="19.5" thickBot="1">
      <c r="A39" s="959"/>
      <c r="B39" s="964" t="s">
        <v>1401</v>
      </c>
      <c r="C39" s="965">
        <v>35000</v>
      </c>
    </row>
    <row r="40" spans="1:3" s="106" customFormat="1" ht="23.25" customHeight="1" thickBot="1">
      <c r="A40" s="869">
        <v>3.2</v>
      </c>
      <c r="B40" s="870" t="s">
        <v>1817</v>
      </c>
      <c r="C40" s="966">
        <v>4926770</v>
      </c>
    </row>
    <row r="41" spans="1:3" s="101" customFormat="1" ht="23.25" customHeight="1">
      <c r="A41" s="110"/>
      <c r="B41" s="967" t="s">
        <v>1402</v>
      </c>
      <c r="C41" s="968">
        <v>117610</v>
      </c>
    </row>
    <row r="42" spans="1:3" s="101" customFormat="1" ht="23.25" customHeight="1">
      <c r="A42" s="110"/>
      <c r="B42" s="178" t="s">
        <v>1403</v>
      </c>
      <c r="C42" s="954">
        <v>20000</v>
      </c>
    </row>
    <row r="43" spans="1:3" s="101" customFormat="1" ht="23.25" customHeight="1">
      <c r="A43" s="110"/>
      <c r="B43" s="956" t="s">
        <v>1404</v>
      </c>
      <c r="C43" s="957">
        <v>20000</v>
      </c>
    </row>
    <row r="44" spans="1:3" s="101" customFormat="1" ht="23.25" customHeight="1">
      <c r="A44" s="110"/>
      <c r="B44" s="969" t="s">
        <v>1405</v>
      </c>
      <c r="C44" s="970">
        <v>60000</v>
      </c>
    </row>
    <row r="45" spans="1:3" s="101" customFormat="1" ht="23.25" customHeight="1">
      <c r="A45" s="110"/>
      <c r="B45" s="971" t="s">
        <v>1406</v>
      </c>
      <c r="C45" s="954">
        <v>8400</v>
      </c>
    </row>
    <row r="46" spans="1:3" s="101" customFormat="1" ht="23.25" customHeight="1">
      <c r="A46" s="110"/>
      <c r="B46" s="972" t="s">
        <v>1407</v>
      </c>
      <c r="C46" s="973">
        <v>960</v>
      </c>
    </row>
    <row r="47" spans="1:3" s="105" customFormat="1" ht="21" customHeight="1">
      <c r="A47" s="958"/>
      <c r="B47" s="974" t="s">
        <v>1408</v>
      </c>
      <c r="C47" s="957">
        <v>6000</v>
      </c>
    </row>
    <row r="48" spans="1:3" s="105" customFormat="1" ht="21" customHeight="1">
      <c r="A48" s="958"/>
      <c r="B48" s="972" t="s">
        <v>1409</v>
      </c>
      <c r="C48" s="954">
        <v>2250</v>
      </c>
    </row>
    <row r="49" spans="1:3" s="105" customFormat="1" ht="21" customHeight="1">
      <c r="A49" s="958"/>
      <c r="B49" s="975" t="s">
        <v>1410</v>
      </c>
      <c r="C49" s="976">
        <v>4225000</v>
      </c>
    </row>
    <row r="50" spans="1:3" s="105" customFormat="1">
      <c r="A50" s="958"/>
      <c r="B50" s="178" t="s">
        <v>1411</v>
      </c>
      <c r="C50" s="954">
        <v>3060000</v>
      </c>
    </row>
    <row r="51" spans="1:3" s="105" customFormat="1">
      <c r="A51" s="958"/>
      <c r="B51" s="972" t="s">
        <v>1412</v>
      </c>
      <c r="C51" s="954">
        <v>108000</v>
      </c>
    </row>
    <row r="52" spans="1:3" s="105" customFormat="1">
      <c r="A52" s="958"/>
      <c r="B52" s="974" t="s">
        <v>1413</v>
      </c>
      <c r="C52" s="957">
        <v>720000</v>
      </c>
    </row>
    <row r="53" spans="1:3" s="105" customFormat="1">
      <c r="A53" s="958"/>
      <c r="B53" s="972" t="s">
        <v>1414</v>
      </c>
      <c r="C53" s="954">
        <v>337500</v>
      </c>
    </row>
    <row r="54" spans="1:3" s="105" customFormat="1">
      <c r="A54" s="958"/>
      <c r="B54" s="975" t="s">
        <v>1415</v>
      </c>
      <c r="C54" s="976">
        <v>117610</v>
      </c>
    </row>
    <row r="55" spans="1:3" s="105" customFormat="1">
      <c r="A55" s="958"/>
      <c r="B55" s="178" t="s">
        <v>1403</v>
      </c>
      <c r="C55" s="954">
        <v>20000</v>
      </c>
    </row>
    <row r="56" spans="1:3" s="105" customFormat="1">
      <c r="A56" s="958"/>
      <c r="B56" s="956" t="s">
        <v>1404</v>
      </c>
      <c r="C56" s="957">
        <v>20000</v>
      </c>
    </row>
    <row r="57" spans="1:3" s="105" customFormat="1">
      <c r="A57" s="958"/>
      <c r="B57" s="969" t="s">
        <v>1405</v>
      </c>
      <c r="C57" s="954">
        <v>60000</v>
      </c>
    </row>
    <row r="58" spans="1:3" s="105" customFormat="1">
      <c r="A58" s="958"/>
      <c r="B58" s="971" t="s">
        <v>1406</v>
      </c>
      <c r="C58" s="954">
        <v>8400</v>
      </c>
    </row>
    <row r="59" spans="1:3" s="105" customFormat="1">
      <c r="A59" s="958"/>
      <c r="B59" s="972" t="s">
        <v>1407</v>
      </c>
      <c r="C59" s="973">
        <v>960</v>
      </c>
    </row>
    <row r="60" spans="1:3" s="105" customFormat="1">
      <c r="A60" s="958"/>
      <c r="B60" s="974" t="s">
        <v>1408</v>
      </c>
      <c r="C60" s="957">
        <v>6000</v>
      </c>
    </row>
    <row r="61" spans="1:3" s="105" customFormat="1">
      <c r="A61" s="958"/>
      <c r="B61" s="972" t="s">
        <v>1409</v>
      </c>
      <c r="C61" s="954">
        <v>2250</v>
      </c>
    </row>
    <row r="62" spans="1:3" s="105" customFormat="1">
      <c r="A62" s="958"/>
      <c r="B62" s="975" t="s">
        <v>1416</v>
      </c>
      <c r="C62" s="976">
        <v>67000</v>
      </c>
    </row>
    <row r="63" spans="1:3" s="105" customFormat="1">
      <c r="A63" s="958"/>
      <c r="B63" s="955" t="s">
        <v>1417</v>
      </c>
      <c r="C63" s="954">
        <v>10000</v>
      </c>
    </row>
    <row r="64" spans="1:3" s="105" customFormat="1">
      <c r="A64" s="958"/>
      <c r="B64" s="956" t="s">
        <v>1418</v>
      </c>
      <c r="C64" s="957">
        <v>5000</v>
      </c>
    </row>
    <row r="65" spans="1:4" s="105" customFormat="1">
      <c r="A65" s="958"/>
      <c r="B65" s="956" t="s">
        <v>1419</v>
      </c>
      <c r="C65" s="957">
        <v>12000</v>
      </c>
    </row>
    <row r="66" spans="1:4" s="101" customFormat="1" ht="23.25" customHeight="1">
      <c r="A66" s="110"/>
      <c r="B66" s="956" t="s">
        <v>1420</v>
      </c>
      <c r="C66" s="946">
        <v>10000</v>
      </c>
    </row>
    <row r="67" spans="1:4" s="101" customFormat="1" ht="23.25" customHeight="1">
      <c r="A67" s="110"/>
      <c r="B67" s="956" t="s">
        <v>1421</v>
      </c>
      <c r="C67" s="946">
        <v>30000</v>
      </c>
    </row>
    <row r="68" spans="1:4" s="101" customFormat="1" ht="23.25" customHeight="1">
      <c r="A68" s="110"/>
      <c r="B68" s="977" t="s">
        <v>1422</v>
      </c>
      <c r="C68" s="978">
        <v>399050</v>
      </c>
    </row>
    <row r="69" spans="1:4" s="105" customFormat="1">
      <c r="A69" s="958"/>
      <c r="B69" s="962" t="s">
        <v>1423</v>
      </c>
      <c r="C69" s="957">
        <v>180000</v>
      </c>
    </row>
    <row r="70" spans="1:4" s="105" customFormat="1">
      <c r="A70" s="958"/>
      <c r="B70" s="963" t="s">
        <v>1424</v>
      </c>
      <c r="C70" s="957">
        <v>64050</v>
      </c>
    </row>
    <row r="71" spans="1:4" s="105" customFormat="1" ht="19.5" thickBot="1">
      <c r="A71" s="958"/>
      <c r="B71" s="964" t="s">
        <v>1425</v>
      </c>
      <c r="C71" s="965">
        <v>155000</v>
      </c>
    </row>
    <row r="72" spans="1:4" s="105" customFormat="1" ht="19.5" thickBot="1">
      <c r="A72" s="869">
        <v>3.3</v>
      </c>
      <c r="B72" s="870" t="s">
        <v>1426</v>
      </c>
      <c r="C72" s="979">
        <v>4609507</v>
      </c>
      <c r="D72" s="873"/>
    </row>
    <row r="73" spans="1:4" s="105" customFormat="1">
      <c r="A73" s="980"/>
      <c r="B73" s="981" t="s">
        <v>1427</v>
      </c>
      <c r="C73" s="982">
        <v>84000</v>
      </c>
    </row>
    <row r="74" spans="1:4" s="105" customFormat="1">
      <c r="A74" s="983"/>
      <c r="B74" s="178" t="s">
        <v>1428</v>
      </c>
      <c r="C74" s="954">
        <v>30000</v>
      </c>
    </row>
    <row r="75" spans="1:4" s="105" customFormat="1">
      <c r="A75" s="983"/>
      <c r="B75" s="956" t="s">
        <v>1429</v>
      </c>
      <c r="C75" s="957">
        <v>45000</v>
      </c>
    </row>
    <row r="76" spans="1:4" s="105" customFormat="1">
      <c r="A76" s="983"/>
      <c r="B76" s="984" t="s">
        <v>1430</v>
      </c>
      <c r="C76" s="954">
        <v>9000</v>
      </c>
    </row>
    <row r="77" spans="1:4" s="105" customFormat="1">
      <c r="A77" s="983"/>
      <c r="B77" s="985" t="s">
        <v>1431</v>
      </c>
      <c r="C77" s="976">
        <v>197100</v>
      </c>
    </row>
    <row r="78" spans="1:4" s="105" customFormat="1">
      <c r="A78" s="983"/>
      <c r="B78" s="956" t="s">
        <v>1432</v>
      </c>
      <c r="C78" s="954">
        <v>21600</v>
      </c>
    </row>
    <row r="79" spans="1:4" s="105" customFormat="1">
      <c r="A79" s="983"/>
      <c r="B79" s="986" t="s">
        <v>1433</v>
      </c>
      <c r="C79" s="957">
        <v>108000</v>
      </c>
    </row>
    <row r="80" spans="1:4" s="105" customFormat="1">
      <c r="A80" s="983"/>
      <c r="B80" s="956" t="s">
        <v>1434</v>
      </c>
      <c r="C80" s="954">
        <v>67500</v>
      </c>
    </row>
    <row r="81" spans="1:3" s="105" customFormat="1">
      <c r="A81" s="983"/>
      <c r="B81" s="985" t="s">
        <v>1435</v>
      </c>
      <c r="C81" s="976">
        <v>2204100</v>
      </c>
    </row>
    <row r="82" spans="1:3" s="105" customFormat="1">
      <c r="A82" s="983"/>
      <c r="B82" s="178" t="s">
        <v>1436</v>
      </c>
      <c r="C82" s="954">
        <v>1200000</v>
      </c>
    </row>
    <row r="83" spans="1:3" s="105" customFormat="1">
      <c r="A83" s="983"/>
      <c r="B83" s="956" t="s">
        <v>1437</v>
      </c>
      <c r="C83" s="957">
        <v>72000</v>
      </c>
    </row>
    <row r="84" spans="1:3" s="105" customFormat="1">
      <c r="A84" s="983"/>
      <c r="B84" s="956" t="s">
        <v>1438</v>
      </c>
      <c r="C84" s="957">
        <v>720000</v>
      </c>
    </row>
    <row r="85" spans="1:3" s="105" customFormat="1">
      <c r="A85" s="983"/>
      <c r="B85" s="956" t="s">
        <v>1439</v>
      </c>
      <c r="C85" s="957">
        <v>15000</v>
      </c>
    </row>
    <row r="86" spans="1:3" s="105" customFormat="1">
      <c r="B86" s="956" t="s">
        <v>1440</v>
      </c>
      <c r="C86" s="954">
        <v>21600</v>
      </c>
    </row>
    <row r="87" spans="1:3" s="105" customFormat="1">
      <c r="B87" s="986" t="s">
        <v>1441</v>
      </c>
      <c r="C87" s="957">
        <v>108000</v>
      </c>
    </row>
    <row r="88" spans="1:3" s="105" customFormat="1">
      <c r="B88" s="956" t="s">
        <v>1442</v>
      </c>
      <c r="C88" s="954">
        <v>67500</v>
      </c>
    </row>
    <row r="89" spans="1:3" s="105" customFormat="1">
      <c r="B89" s="985" t="s">
        <v>1443</v>
      </c>
      <c r="C89" s="976">
        <v>989100</v>
      </c>
    </row>
    <row r="90" spans="1:3" s="105" customFormat="1">
      <c r="B90" s="956" t="s">
        <v>1444</v>
      </c>
      <c r="C90" s="957">
        <v>72000</v>
      </c>
    </row>
    <row r="91" spans="1:3" s="105" customFormat="1">
      <c r="B91" s="956" t="s">
        <v>1445</v>
      </c>
      <c r="C91" s="957">
        <v>720000</v>
      </c>
    </row>
    <row r="92" spans="1:3" s="105" customFormat="1">
      <c r="B92" s="956" t="s">
        <v>1446</v>
      </c>
      <c r="C92" s="954">
        <v>21600</v>
      </c>
    </row>
    <row r="93" spans="1:3" s="105" customFormat="1">
      <c r="B93" s="986" t="s">
        <v>1447</v>
      </c>
      <c r="C93" s="957">
        <v>108000</v>
      </c>
    </row>
    <row r="94" spans="1:3" s="105" customFormat="1">
      <c r="B94" s="956" t="s">
        <v>1448</v>
      </c>
      <c r="C94" s="954">
        <v>67500</v>
      </c>
    </row>
    <row r="95" spans="1:3" s="105" customFormat="1">
      <c r="B95" s="985" t="s">
        <v>1449</v>
      </c>
      <c r="C95" s="976">
        <v>117610</v>
      </c>
    </row>
    <row r="96" spans="1:3" s="105" customFormat="1">
      <c r="B96" s="178" t="s">
        <v>1403</v>
      </c>
      <c r="C96" s="954">
        <v>20000</v>
      </c>
    </row>
    <row r="97" spans="2:3" s="105" customFormat="1">
      <c r="B97" s="956" t="s">
        <v>1404</v>
      </c>
      <c r="C97" s="957">
        <v>20000</v>
      </c>
    </row>
    <row r="98" spans="2:3" s="105" customFormat="1">
      <c r="B98" s="984" t="s">
        <v>1405</v>
      </c>
      <c r="C98" s="954">
        <v>60000</v>
      </c>
    </row>
    <row r="99" spans="2:3" s="105" customFormat="1">
      <c r="B99" s="898" t="s">
        <v>1406</v>
      </c>
      <c r="C99" s="954">
        <v>8400</v>
      </c>
    </row>
    <row r="100" spans="2:3" s="105" customFormat="1">
      <c r="B100" s="956" t="s">
        <v>1407</v>
      </c>
      <c r="C100" s="973">
        <v>960</v>
      </c>
    </row>
    <row r="101" spans="2:3" s="105" customFormat="1">
      <c r="B101" s="986" t="s">
        <v>1408</v>
      </c>
      <c r="C101" s="957">
        <v>6000</v>
      </c>
    </row>
    <row r="102" spans="2:3" s="105" customFormat="1">
      <c r="B102" s="956" t="s">
        <v>1409</v>
      </c>
      <c r="C102" s="954">
        <v>2250</v>
      </c>
    </row>
    <row r="103" spans="2:3" s="105" customFormat="1">
      <c r="B103" s="985" t="s">
        <v>1450</v>
      </c>
      <c r="C103" s="976">
        <v>607610</v>
      </c>
    </row>
    <row r="104" spans="2:3" s="105" customFormat="1">
      <c r="B104" s="987" t="s">
        <v>1451</v>
      </c>
      <c r="C104" s="954">
        <v>250000</v>
      </c>
    </row>
    <row r="105" spans="2:3" s="105" customFormat="1">
      <c r="B105" s="178" t="s">
        <v>1452</v>
      </c>
      <c r="C105" s="954">
        <v>80000</v>
      </c>
    </row>
    <row r="106" spans="2:3" s="105" customFormat="1">
      <c r="B106" s="956" t="s">
        <v>1404</v>
      </c>
      <c r="C106" s="957">
        <v>20000</v>
      </c>
    </row>
    <row r="107" spans="2:3" s="105" customFormat="1">
      <c r="B107" s="984" t="s">
        <v>1453</v>
      </c>
      <c r="C107" s="954">
        <v>240000</v>
      </c>
    </row>
    <row r="108" spans="2:3" s="105" customFormat="1">
      <c r="B108" s="898" t="s">
        <v>1406</v>
      </c>
      <c r="C108" s="954">
        <v>8400</v>
      </c>
    </row>
    <row r="109" spans="2:3" s="105" customFormat="1">
      <c r="B109" s="956" t="s">
        <v>1407</v>
      </c>
      <c r="C109" s="973">
        <v>960</v>
      </c>
    </row>
    <row r="110" spans="2:3" s="105" customFormat="1">
      <c r="B110" s="986" t="s">
        <v>1408</v>
      </c>
      <c r="C110" s="957">
        <v>6000</v>
      </c>
    </row>
    <row r="111" spans="2:3" s="105" customFormat="1">
      <c r="B111" s="956" t="s">
        <v>1409</v>
      </c>
      <c r="C111" s="954">
        <v>2250</v>
      </c>
    </row>
    <row r="112" spans="2:3" s="105" customFormat="1">
      <c r="B112" s="985" t="s">
        <v>1454</v>
      </c>
      <c r="C112" s="976">
        <v>67000</v>
      </c>
    </row>
    <row r="113" spans="1:3" s="105" customFormat="1">
      <c r="B113" s="955" t="s">
        <v>1417</v>
      </c>
      <c r="C113" s="954">
        <v>10000</v>
      </c>
    </row>
    <row r="114" spans="1:3" ht="23.25" customHeight="1">
      <c r="A114" s="105"/>
      <c r="B114" s="956" t="s">
        <v>1455</v>
      </c>
      <c r="C114" s="957">
        <v>5000</v>
      </c>
    </row>
    <row r="115" spans="1:3" ht="23.25" customHeight="1">
      <c r="A115" s="105"/>
      <c r="B115" s="956" t="s">
        <v>1419</v>
      </c>
      <c r="C115" s="957">
        <v>12000</v>
      </c>
    </row>
    <row r="116" spans="1:3" ht="23.25" customHeight="1">
      <c r="A116" s="105"/>
      <c r="B116" s="956" t="s">
        <v>1420</v>
      </c>
      <c r="C116" s="946">
        <v>10000</v>
      </c>
    </row>
    <row r="117" spans="1:3" ht="21.75" customHeight="1">
      <c r="A117" s="105"/>
      <c r="B117" s="956" t="s">
        <v>1421</v>
      </c>
      <c r="C117" s="946">
        <v>30000</v>
      </c>
    </row>
    <row r="118" spans="1:3" ht="21.75" customHeight="1">
      <c r="A118" s="105"/>
      <c r="B118" s="977" t="s">
        <v>1456</v>
      </c>
      <c r="C118" s="978">
        <v>343050</v>
      </c>
    </row>
    <row r="119" spans="1:3">
      <c r="A119" s="105"/>
      <c r="B119" s="988" t="s">
        <v>1399</v>
      </c>
      <c r="C119" s="957">
        <v>180000</v>
      </c>
    </row>
    <row r="120" spans="1:3">
      <c r="A120" s="105"/>
      <c r="B120" s="178" t="s">
        <v>1400</v>
      </c>
      <c r="C120" s="957">
        <v>80000</v>
      </c>
    </row>
    <row r="121" spans="1:3" ht="19.5" thickBot="1">
      <c r="B121" s="989" t="s">
        <v>1401</v>
      </c>
      <c r="C121" s="965">
        <v>83050</v>
      </c>
    </row>
    <row r="122" spans="1:3" ht="19.5" thickBot="1">
      <c r="A122" s="869">
        <v>3.4</v>
      </c>
      <c r="B122" s="870" t="s">
        <v>1457</v>
      </c>
      <c r="C122" s="979">
        <v>7324600</v>
      </c>
    </row>
    <row r="123" spans="1:3">
      <c r="B123" s="981" t="s">
        <v>1458</v>
      </c>
      <c r="C123" s="990">
        <v>235220</v>
      </c>
    </row>
    <row r="124" spans="1:3">
      <c r="B124" s="178" t="s">
        <v>1459</v>
      </c>
      <c r="C124" s="954">
        <v>40000</v>
      </c>
    </row>
    <row r="125" spans="1:3">
      <c r="B125" s="956" t="s">
        <v>1404</v>
      </c>
      <c r="C125" s="957">
        <v>40000</v>
      </c>
    </row>
    <row r="126" spans="1:3">
      <c r="B126" s="984" t="s">
        <v>1460</v>
      </c>
      <c r="C126" s="954">
        <v>120000</v>
      </c>
    </row>
    <row r="127" spans="1:3">
      <c r="B127" s="898" t="s">
        <v>1461</v>
      </c>
      <c r="C127" s="954">
        <v>16800</v>
      </c>
    </row>
    <row r="128" spans="1:3">
      <c r="B128" s="956" t="s">
        <v>1462</v>
      </c>
      <c r="C128" s="954">
        <v>1920</v>
      </c>
    </row>
    <row r="129" spans="2:3">
      <c r="B129" s="986" t="s">
        <v>1463</v>
      </c>
      <c r="C129" s="957">
        <v>12000</v>
      </c>
    </row>
    <row r="130" spans="2:3">
      <c r="B130" s="956" t="s">
        <v>1464</v>
      </c>
      <c r="C130" s="954">
        <v>4500</v>
      </c>
    </row>
    <row r="131" spans="2:3">
      <c r="B131" s="985" t="s">
        <v>1465</v>
      </c>
      <c r="C131" s="976">
        <v>493660</v>
      </c>
    </row>
    <row r="132" spans="2:3">
      <c r="B132" s="178" t="s">
        <v>1466</v>
      </c>
      <c r="C132" s="954">
        <v>72000</v>
      </c>
    </row>
    <row r="133" spans="2:3">
      <c r="B133" s="956" t="s">
        <v>1404</v>
      </c>
      <c r="C133" s="957">
        <v>100000</v>
      </c>
    </row>
    <row r="134" spans="2:3">
      <c r="B134" s="984" t="s">
        <v>1467</v>
      </c>
      <c r="C134" s="954">
        <v>216000</v>
      </c>
    </row>
    <row r="135" spans="2:3">
      <c r="B135" s="898" t="s">
        <v>1468</v>
      </c>
      <c r="C135" s="954">
        <v>50400</v>
      </c>
    </row>
    <row r="136" spans="2:3">
      <c r="B136" s="956" t="s">
        <v>1469</v>
      </c>
      <c r="C136" s="954">
        <v>5760</v>
      </c>
    </row>
    <row r="137" spans="2:3">
      <c r="B137" s="986" t="s">
        <v>1470</v>
      </c>
      <c r="C137" s="957">
        <v>36000</v>
      </c>
    </row>
    <row r="138" spans="2:3">
      <c r="B138" s="956" t="s">
        <v>1471</v>
      </c>
      <c r="C138" s="954">
        <v>13500</v>
      </c>
    </row>
    <row r="139" spans="2:3">
      <c r="B139" s="985" t="s">
        <v>1472</v>
      </c>
      <c r="C139" s="976">
        <v>3774000</v>
      </c>
    </row>
    <row r="140" spans="2:3">
      <c r="B140" s="178" t="s">
        <v>1473</v>
      </c>
      <c r="C140" s="954">
        <v>75000</v>
      </c>
    </row>
    <row r="141" spans="2:3">
      <c r="B141" s="987" t="s">
        <v>1474</v>
      </c>
      <c r="C141" s="954">
        <v>936000</v>
      </c>
    </row>
    <row r="142" spans="2:3">
      <c r="B142" s="956" t="s">
        <v>1475</v>
      </c>
      <c r="C142" s="954">
        <v>288000</v>
      </c>
    </row>
    <row r="143" spans="2:3">
      <c r="B143" s="986" t="s">
        <v>1476</v>
      </c>
      <c r="C143" s="957">
        <v>1800000</v>
      </c>
    </row>
    <row r="144" spans="2:3">
      <c r="B144" s="956" t="s">
        <v>1477</v>
      </c>
      <c r="C144" s="954">
        <v>675000</v>
      </c>
    </row>
    <row r="145" spans="2:3">
      <c r="B145" s="985" t="s">
        <v>1478</v>
      </c>
      <c r="C145" s="976">
        <v>962400</v>
      </c>
    </row>
    <row r="146" spans="2:3">
      <c r="B146" s="178" t="s">
        <v>1479</v>
      </c>
      <c r="C146" s="954">
        <v>30000</v>
      </c>
    </row>
    <row r="147" spans="2:3">
      <c r="B147" s="956" t="s">
        <v>1480</v>
      </c>
      <c r="C147" s="954">
        <v>86400</v>
      </c>
    </row>
    <row r="148" spans="2:3">
      <c r="B148" s="986" t="s">
        <v>1481</v>
      </c>
      <c r="C148" s="957">
        <v>576000</v>
      </c>
    </row>
    <row r="149" spans="2:3">
      <c r="B149" s="956" t="s">
        <v>1482</v>
      </c>
      <c r="C149" s="954">
        <v>270000</v>
      </c>
    </row>
    <row r="150" spans="2:3">
      <c r="B150" s="985" t="s">
        <v>1483</v>
      </c>
      <c r="C150" s="976">
        <v>620000</v>
      </c>
    </row>
    <row r="151" spans="2:3">
      <c r="B151" s="987" t="s">
        <v>1484</v>
      </c>
      <c r="C151" s="954">
        <v>500000</v>
      </c>
    </row>
    <row r="152" spans="2:3">
      <c r="B152" s="987" t="s">
        <v>1485</v>
      </c>
      <c r="C152" s="954">
        <v>120000</v>
      </c>
    </row>
    <row r="153" spans="2:3">
      <c r="B153" s="985" t="s">
        <v>1486</v>
      </c>
      <c r="C153" s="976">
        <v>235220</v>
      </c>
    </row>
    <row r="154" spans="2:3">
      <c r="B154" s="178" t="s">
        <v>1459</v>
      </c>
      <c r="C154" s="954">
        <v>40000</v>
      </c>
    </row>
    <row r="155" spans="2:3">
      <c r="B155" s="956" t="s">
        <v>1404</v>
      </c>
      <c r="C155" s="957">
        <v>40000</v>
      </c>
    </row>
    <row r="156" spans="2:3">
      <c r="B156" s="984" t="s">
        <v>1460</v>
      </c>
      <c r="C156" s="954">
        <v>120000</v>
      </c>
    </row>
    <row r="157" spans="2:3">
      <c r="B157" s="898" t="s">
        <v>1461</v>
      </c>
      <c r="C157" s="954">
        <v>16800</v>
      </c>
    </row>
    <row r="158" spans="2:3">
      <c r="B158" s="956" t="s">
        <v>1462</v>
      </c>
      <c r="C158" s="954">
        <v>1920</v>
      </c>
    </row>
    <row r="159" spans="2:3">
      <c r="B159" s="986" t="s">
        <v>1463</v>
      </c>
      <c r="C159" s="957">
        <v>12000</v>
      </c>
    </row>
    <row r="160" spans="2:3">
      <c r="B160" s="956" t="s">
        <v>1464</v>
      </c>
      <c r="C160" s="954">
        <v>4500</v>
      </c>
    </row>
    <row r="161" spans="1:3">
      <c r="B161" s="991" t="s">
        <v>1487</v>
      </c>
      <c r="C161" s="976">
        <v>328000</v>
      </c>
    </row>
    <row r="162" spans="1:3">
      <c r="B162" s="955" t="s">
        <v>1488</v>
      </c>
      <c r="C162" s="992">
        <v>40000</v>
      </c>
    </row>
    <row r="163" spans="1:3">
      <c r="B163" s="956" t="s">
        <v>1489</v>
      </c>
      <c r="C163" s="992">
        <v>20000</v>
      </c>
    </row>
    <row r="164" spans="1:3">
      <c r="B164" s="956" t="s">
        <v>1490</v>
      </c>
      <c r="C164" s="992">
        <v>48000</v>
      </c>
    </row>
    <row r="165" spans="1:3">
      <c r="B165" s="956" t="s">
        <v>1491</v>
      </c>
      <c r="C165" s="992">
        <v>60000</v>
      </c>
    </row>
    <row r="166" spans="1:3">
      <c r="B166" s="956" t="s">
        <v>1492</v>
      </c>
      <c r="C166" s="992">
        <v>160000</v>
      </c>
    </row>
    <row r="167" spans="1:3">
      <c r="B167" s="977" t="s">
        <v>1493</v>
      </c>
      <c r="C167" s="978">
        <v>676100</v>
      </c>
    </row>
    <row r="168" spans="1:3">
      <c r="B168" s="988" t="s">
        <v>1423</v>
      </c>
      <c r="C168" s="957">
        <v>360000</v>
      </c>
    </row>
    <row r="169" spans="1:3">
      <c r="B169" s="178" t="s">
        <v>1424</v>
      </c>
      <c r="C169" s="957">
        <v>150000</v>
      </c>
    </row>
    <row r="170" spans="1:3" ht="19.5" thickBot="1">
      <c r="B170" s="993" t="s">
        <v>1425</v>
      </c>
      <c r="C170" s="965">
        <v>166100</v>
      </c>
    </row>
    <row r="171" spans="1:3" ht="19.5" thickBot="1">
      <c r="A171" s="869">
        <v>3.5</v>
      </c>
      <c r="B171" s="870" t="s">
        <v>1494</v>
      </c>
      <c r="C171" s="994">
        <v>5031810</v>
      </c>
    </row>
    <row r="172" spans="1:3">
      <c r="B172" s="995" t="s">
        <v>1495</v>
      </c>
      <c r="C172" s="996">
        <v>2132200</v>
      </c>
    </row>
    <row r="173" spans="1:3">
      <c r="B173" s="984" t="s">
        <v>1496</v>
      </c>
      <c r="C173" s="954">
        <v>600000</v>
      </c>
    </row>
    <row r="174" spans="1:3">
      <c r="B174" s="898" t="s">
        <v>1497</v>
      </c>
      <c r="C174" s="954">
        <v>420000</v>
      </c>
    </row>
    <row r="175" spans="1:3">
      <c r="B175" s="956" t="s">
        <v>1498</v>
      </c>
      <c r="C175" s="954">
        <v>100000</v>
      </c>
    </row>
    <row r="176" spans="1:3">
      <c r="B176" s="956" t="s">
        <v>1499</v>
      </c>
      <c r="C176" s="954">
        <v>300000</v>
      </c>
    </row>
    <row r="177" spans="2:3">
      <c r="B177" s="956" t="s">
        <v>1500</v>
      </c>
      <c r="C177" s="954">
        <v>682200</v>
      </c>
    </row>
    <row r="178" spans="2:3">
      <c r="B178" s="956" t="s">
        <v>1501</v>
      </c>
      <c r="C178" s="954">
        <v>30000</v>
      </c>
    </row>
    <row r="179" spans="2:3">
      <c r="B179" s="985" t="s">
        <v>1502</v>
      </c>
      <c r="C179" s="976">
        <v>588050</v>
      </c>
    </row>
    <row r="180" spans="2:3">
      <c r="B180" s="178" t="s">
        <v>1503</v>
      </c>
      <c r="C180" s="954">
        <v>100000</v>
      </c>
    </row>
    <row r="181" spans="2:3">
      <c r="B181" s="956" t="s">
        <v>1404</v>
      </c>
      <c r="C181" s="957">
        <v>100000</v>
      </c>
    </row>
    <row r="182" spans="2:3">
      <c r="B182" s="984" t="s">
        <v>1504</v>
      </c>
      <c r="C182" s="954">
        <v>300000</v>
      </c>
    </row>
    <row r="183" spans="2:3">
      <c r="B183" s="898" t="s">
        <v>1505</v>
      </c>
      <c r="C183" s="954">
        <v>42000</v>
      </c>
    </row>
    <row r="184" spans="2:3">
      <c r="B184" s="956" t="s">
        <v>1506</v>
      </c>
      <c r="C184" s="954">
        <v>4800</v>
      </c>
    </row>
    <row r="185" spans="2:3">
      <c r="B185" s="986" t="s">
        <v>1507</v>
      </c>
      <c r="C185" s="957">
        <v>30000</v>
      </c>
    </row>
    <row r="186" spans="2:3">
      <c r="B186" s="956" t="s">
        <v>1508</v>
      </c>
      <c r="C186" s="954">
        <v>11250</v>
      </c>
    </row>
    <row r="187" spans="2:3">
      <c r="B187" s="985" t="s">
        <v>1509</v>
      </c>
      <c r="C187" s="976">
        <v>105000</v>
      </c>
    </row>
    <row r="188" spans="2:3">
      <c r="B188" s="178" t="s">
        <v>1510</v>
      </c>
      <c r="C188" s="954">
        <v>105000</v>
      </c>
    </row>
    <row r="189" spans="2:3">
      <c r="B189" s="985" t="s">
        <v>1511</v>
      </c>
      <c r="C189" s="976">
        <v>1796510</v>
      </c>
    </row>
    <row r="190" spans="2:3">
      <c r="B190" s="178" t="s">
        <v>1512</v>
      </c>
      <c r="C190" s="954">
        <v>1250000</v>
      </c>
    </row>
    <row r="191" spans="2:3">
      <c r="B191" s="178" t="s">
        <v>1513</v>
      </c>
      <c r="C191" s="954">
        <v>100000</v>
      </c>
    </row>
    <row r="192" spans="2:3">
      <c r="B192" s="956" t="s">
        <v>1404</v>
      </c>
      <c r="C192" s="957">
        <v>128900</v>
      </c>
    </row>
    <row r="193" spans="1:3">
      <c r="B193" s="984" t="s">
        <v>1514</v>
      </c>
      <c r="C193" s="954">
        <v>300000</v>
      </c>
    </row>
    <row r="194" spans="1:3">
      <c r="B194" s="898" t="s">
        <v>1515</v>
      </c>
      <c r="C194" s="954">
        <v>8400</v>
      </c>
    </row>
    <row r="195" spans="1:3">
      <c r="B195" s="956" t="s">
        <v>1516</v>
      </c>
      <c r="C195" s="973">
        <v>960</v>
      </c>
    </row>
    <row r="196" spans="1:3">
      <c r="B196" s="986" t="s">
        <v>1408</v>
      </c>
      <c r="C196" s="957">
        <v>6000</v>
      </c>
    </row>
    <row r="197" spans="1:3">
      <c r="B197" s="956" t="s">
        <v>1409</v>
      </c>
      <c r="C197" s="954">
        <v>2250</v>
      </c>
    </row>
    <row r="198" spans="1:3">
      <c r="B198" s="985" t="s">
        <v>1517</v>
      </c>
      <c r="C198" s="976">
        <v>67000</v>
      </c>
    </row>
    <row r="199" spans="1:3">
      <c r="B199" s="955" t="s">
        <v>1417</v>
      </c>
      <c r="C199" s="954">
        <v>10000</v>
      </c>
    </row>
    <row r="200" spans="1:3">
      <c r="B200" s="956" t="s">
        <v>1455</v>
      </c>
      <c r="C200" s="957">
        <v>5000</v>
      </c>
    </row>
    <row r="201" spans="1:3">
      <c r="B201" s="956" t="s">
        <v>1419</v>
      </c>
      <c r="C201" s="957">
        <v>12000</v>
      </c>
    </row>
    <row r="202" spans="1:3">
      <c r="B202" s="956" t="s">
        <v>1420</v>
      </c>
      <c r="C202" s="946">
        <v>10000</v>
      </c>
    </row>
    <row r="203" spans="1:3">
      <c r="B203" s="956" t="s">
        <v>1421</v>
      </c>
      <c r="C203" s="946">
        <v>30000</v>
      </c>
    </row>
    <row r="204" spans="1:3">
      <c r="B204" s="977" t="s">
        <v>1518</v>
      </c>
      <c r="C204" s="978">
        <v>343050</v>
      </c>
    </row>
    <row r="205" spans="1:3">
      <c r="B205" s="988" t="s">
        <v>1519</v>
      </c>
      <c r="C205" s="957">
        <v>180000</v>
      </c>
    </row>
    <row r="206" spans="1:3">
      <c r="B206" s="178" t="s">
        <v>1520</v>
      </c>
      <c r="C206" s="957">
        <v>80000</v>
      </c>
    </row>
    <row r="207" spans="1:3" ht="19.5" thickBot="1">
      <c r="B207" s="989" t="s">
        <v>1521</v>
      </c>
      <c r="C207" s="957">
        <v>83050</v>
      </c>
    </row>
    <row r="208" spans="1:3" ht="19.5" thickBot="1">
      <c r="A208" s="869">
        <v>3.6</v>
      </c>
      <c r="B208" s="997" t="s">
        <v>1922</v>
      </c>
      <c r="C208" s="998">
        <v>5857500</v>
      </c>
    </row>
    <row r="209" spans="2:3">
      <c r="B209" s="999" t="s">
        <v>1523</v>
      </c>
      <c r="C209" s="1000">
        <v>558050</v>
      </c>
    </row>
    <row r="210" spans="2:3">
      <c r="B210" s="956" t="s">
        <v>1524</v>
      </c>
      <c r="C210" s="957">
        <v>100000</v>
      </c>
    </row>
    <row r="211" spans="2:3">
      <c r="B211" s="898" t="s">
        <v>1525</v>
      </c>
      <c r="C211" s="957">
        <v>300000</v>
      </c>
    </row>
    <row r="212" spans="2:3">
      <c r="B212" s="956" t="s">
        <v>1526</v>
      </c>
      <c r="C212" s="957">
        <v>42000</v>
      </c>
    </row>
    <row r="213" spans="2:3">
      <c r="B213" s="986" t="s">
        <v>1527</v>
      </c>
      <c r="C213" s="957">
        <v>30000</v>
      </c>
    </row>
    <row r="214" spans="2:3">
      <c r="B214" s="986" t="s">
        <v>1528</v>
      </c>
      <c r="C214" s="957">
        <v>4800</v>
      </c>
    </row>
    <row r="215" spans="2:3">
      <c r="B215" s="898" t="s">
        <v>1529</v>
      </c>
      <c r="C215" s="957">
        <v>11250</v>
      </c>
    </row>
    <row r="216" spans="2:3">
      <c r="B216" s="112" t="s">
        <v>1530</v>
      </c>
      <c r="C216" s="957">
        <v>60000</v>
      </c>
    </row>
    <row r="217" spans="2:3">
      <c r="B217" s="112" t="s">
        <v>1531</v>
      </c>
      <c r="C217" s="957">
        <v>10000</v>
      </c>
    </row>
    <row r="218" spans="2:3">
      <c r="B218" s="1001" t="s">
        <v>1532</v>
      </c>
      <c r="C218" s="976">
        <v>4628400</v>
      </c>
    </row>
    <row r="219" spans="2:3">
      <c r="B219" s="112" t="s">
        <v>1533</v>
      </c>
      <c r="C219" s="954">
        <v>200000</v>
      </c>
    </row>
    <row r="220" spans="2:3">
      <c r="B220" s="956" t="s">
        <v>1534</v>
      </c>
      <c r="C220" s="954">
        <v>348400</v>
      </c>
    </row>
    <row r="221" spans="2:3">
      <c r="B221" s="986" t="s">
        <v>1535</v>
      </c>
      <c r="C221" s="954">
        <v>480000</v>
      </c>
    </row>
    <row r="222" spans="2:3">
      <c r="B222" s="1002" t="s">
        <v>1536</v>
      </c>
      <c r="C222" s="954">
        <v>3600000</v>
      </c>
    </row>
    <row r="223" spans="2:3">
      <c r="B223" s="1003" t="s">
        <v>1537</v>
      </c>
      <c r="C223" s="1000">
        <v>328000</v>
      </c>
    </row>
    <row r="224" spans="2:3">
      <c r="B224" s="955" t="s">
        <v>1538</v>
      </c>
      <c r="C224" s="992">
        <v>40000</v>
      </c>
    </row>
    <row r="225" spans="1:3">
      <c r="B225" s="956" t="s">
        <v>1539</v>
      </c>
      <c r="C225" s="992">
        <v>20000</v>
      </c>
    </row>
    <row r="226" spans="1:3">
      <c r="B226" s="956" t="s">
        <v>1540</v>
      </c>
      <c r="C226" s="992">
        <v>48000</v>
      </c>
    </row>
    <row r="227" spans="1:3">
      <c r="B227" s="956" t="s">
        <v>1541</v>
      </c>
      <c r="C227" s="992">
        <v>60000</v>
      </c>
    </row>
    <row r="228" spans="1:3">
      <c r="B228" s="956" t="s">
        <v>1542</v>
      </c>
      <c r="C228" s="992">
        <v>160000</v>
      </c>
    </row>
    <row r="229" spans="1:3">
      <c r="B229" s="977" t="s">
        <v>1543</v>
      </c>
      <c r="C229" s="978">
        <v>343050</v>
      </c>
    </row>
    <row r="230" spans="1:3">
      <c r="B230" s="988" t="s">
        <v>1519</v>
      </c>
      <c r="C230" s="957">
        <v>180000</v>
      </c>
    </row>
    <row r="231" spans="1:3">
      <c r="B231" s="178" t="s">
        <v>1520</v>
      </c>
      <c r="C231" s="957">
        <v>80000</v>
      </c>
    </row>
    <row r="232" spans="1:3" ht="19.5" thickBot="1">
      <c r="B232" s="989" t="s">
        <v>1521</v>
      </c>
      <c r="C232" s="1004">
        <v>83050</v>
      </c>
    </row>
    <row r="233" spans="1:3" ht="19.5" thickBot="1">
      <c r="A233" s="869">
        <v>3.7</v>
      </c>
      <c r="B233" s="997" t="s">
        <v>1544</v>
      </c>
      <c r="C233" s="1005">
        <v>1994250</v>
      </c>
    </row>
    <row r="234" spans="1:3">
      <c r="B234" s="999" t="s">
        <v>1545</v>
      </c>
      <c r="C234" s="1006">
        <v>1487200</v>
      </c>
    </row>
    <row r="235" spans="1:3">
      <c r="B235" s="1007" t="s">
        <v>1546</v>
      </c>
      <c r="C235" s="957">
        <v>36000</v>
      </c>
    </row>
    <row r="236" spans="1:3">
      <c r="B236" s="986" t="s">
        <v>1547</v>
      </c>
      <c r="C236" s="957">
        <v>216000</v>
      </c>
    </row>
    <row r="237" spans="1:3">
      <c r="B237" s="986" t="s">
        <v>1548</v>
      </c>
      <c r="C237" s="957">
        <v>400000</v>
      </c>
    </row>
    <row r="238" spans="1:3">
      <c r="B238" s="986" t="s">
        <v>1549</v>
      </c>
      <c r="C238" s="957">
        <v>115200</v>
      </c>
    </row>
    <row r="239" spans="1:3">
      <c r="B239" s="1002" t="s">
        <v>1550</v>
      </c>
      <c r="C239" s="957">
        <v>720000</v>
      </c>
    </row>
    <row r="240" spans="1:3">
      <c r="B240" s="1003" t="s">
        <v>1551</v>
      </c>
      <c r="C240" s="1000">
        <v>164000</v>
      </c>
    </row>
    <row r="241" spans="1:7">
      <c r="B241" s="955" t="s">
        <v>1552</v>
      </c>
      <c r="C241" s="992">
        <v>20000</v>
      </c>
    </row>
    <row r="242" spans="1:7">
      <c r="B242" s="956" t="s">
        <v>1553</v>
      </c>
      <c r="C242" s="992">
        <v>10000</v>
      </c>
    </row>
    <row r="243" spans="1:7">
      <c r="B243" s="956" t="s">
        <v>1554</v>
      </c>
      <c r="C243" s="992">
        <v>24000</v>
      </c>
      <c r="G243" s="1008"/>
    </row>
    <row r="244" spans="1:7">
      <c r="B244" s="956" t="s">
        <v>1555</v>
      </c>
      <c r="C244" s="992">
        <v>30000</v>
      </c>
    </row>
    <row r="245" spans="1:7">
      <c r="B245" s="956" t="s">
        <v>1556</v>
      </c>
      <c r="C245" s="992">
        <v>80000</v>
      </c>
    </row>
    <row r="246" spans="1:7">
      <c r="B246" s="977" t="s">
        <v>1557</v>
      </c>
      <c r="C246" s="978">
        <v>343050</v>
      </c>
    </row>
    <row r="247" spans="1:7">
      <c r="B247" s="988" t="s">
        <v>1423</v>
      </c>
      <c r="C247" s="957">
        <v>180000</v>
      </c>
    </row>
    <row r="248" spans="1:7">
      <c r="B248" s="178" t="s">
        <v>1520</v>
      </c>
      <c r="C248" s="1009">
        <v>80000</v>
      </c>
    </row>
    <row r="249" spans="1:7">
      <c r="A249" s="1359"/>
      <c r="B249" s="1360" t="s">
        <v>1521</v>
      </c>
      <c r="C249" s="1361">
        <v>83050</v>
      </c>
    </row>
    <row r="250" spans="1:7" ht="21">
      <c r="A250" s="1362"/>
      <c r="B250" s="1364" t="s">
        <v>109</v>
      </c>
      <c r="C250" s="1363">
        <f>C7+C24</f>
        <v>58000000</v>
      </c>
    </row>
  </sheetData>
  <mergeCells count="2">
    <mergeCell ref="A1:C1"/>
    <mergeCell ref="A3:C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55"/>
  <sheetViews>
    <sheetView workbookViewId="0">
      <selection sqref="A1:C1"/>
    </sheetView>
  </sheetViews>
  <sheetFormatPr defaultColWidth="9" defaultRowHeight="18.75"/>
  <cols>
    <col min="1" max="1" width="5.375" style="836" customWidth="1"/>
    <col min="2" max="2" width="70.875" style="94" customWidth="1"/>
    <col min="3" max="3" width="14.875" style="1010" customWidth="1"/>
    <col min="4" max="5" width="9" style="94"/>
    <col min="6" max="6" width="10.75" style="94" bestFit="1" customWidth="1"/>
    <col min="7" max="7" width="9" style="94"/>
    <col min="8" max="8" width="10.75" style="94" bestFit="1" customWidth="1"/>
    <col min="9" max="256" width="9" style="94"/>
    <col min="257" max="257" width="5.375" style="94" customWidth="1"/>
    <col min="258" max="258" width="70.875" style="94" customWidth="1"/>
    <col min="259" max="259" width="14.875" style="94" customWidth="1"/>
    <col min="260" max="261" width="9" style="94"/>
    <col min="262" max="262" width="10.75" style="94" bestFit="1" customWidth="1"/>
    <col min="263" max="263" width="9" style="94"/>
    <col min="264" max="264" width="10.75" style="94" bestFit="1" customWidth="1"/>
    <col min="265" max="512" width="9" style="94"/>
    <col min="513" max="513" width="5.375" style="94" customWidth="1"/>
    <col min="514" max="514" width="70.875" style="94" customWidth="1"/>
    <col min="515" max="515" width="14.875" style="94" customWidth="1"/>
    <col min="516" max="517" width="9" style="94"/>
    <col min="518" max="518" width="10.75" style="94" bestFit="1" customWidth="1"/>
    <col min="519" max="519" width="9" style="94"/>
    <col min="520" max="520" width="10.75" style="94" bestFit="1" customWidth="1"/>
    <col min="521" max="768" width="9" style="94"/>
    <col min="769" max="769" width="5.375" style="94" customWidth="1"/>
    <col min="770" max="770" width="70.875" style="94" customWidth="1"/>
    <col min="771" max="771" width="14.875" style="94" customWidth="1"/>
    <col min="772" max="773" width="9" style="94"/>
    <col min="774" max="774" width="10.75" style="94" bestFit="1" customWidth="1"/>
    <col min="775" max="775" width="9" style="94"/>
    <col min="776" max="776" width="10.75" style="94" bestFit="1" customWidth="1"/>
    <col min="777" max="1024" width="9" style="94"/>
    <col min="1025" max="1025" width="5.375" style="94" customWidth="1"/>
    <col min="1026" max="1026" width="70.875" style="94" customWidth="1"/>
    <col min="1027" max="1027" width="14.875" style="94" customWidth="1"/>
    <col min="1028" max="1029" width="9" style="94"/>
    <col min="1030" max="1030" width="10.75" style="94" bestFit="1" customWidth="1"/>
    <col min="1031" max="1031" width="9" style="94"/>
    <col min="1032" max="1032" width="10.75" style="94" bestFit="1" customWidth="1"/>
    <col min="1033" max="1280" width="9" style="94"/>
    <col min="1281" max="1281" width="5.375" style="94" customWidth="1"/>
    <col min="1282" max="1282" width="70.875" style="94" customWidth="1"/>
    <col min="1283" max="1283" width="14.875" style="94" customWidth="1"/>
    <col min="1284" max="1285" width="9" style="94"/>
    <col min="1286" max="1286" width="10.75" style="94" bestFit="1" customWidth="1"/>
    <col min="1287" max="1287" width="9" style="94"/>
    <col min="1288" max="1288" width="10.75" style="94" bestFit="1" customWidth="1"/>
    <col min="1289" max="1536" width="9" style="94"/>
    <col min="1537" max="1537" width="5.375" style="94" customWidth="1"/>
    <col min="1538" max="1538" width="70.875" style="94" customWidth="1"/>
    <col min="1539" max="1539" width="14.875" style="94" customWidth="1"/>
    <col min="1540" max="1541" width="9" style="94"/>
    <col min="1542" max="1542" width="10.75" style="94" bestFit="1" customWidth="1"/>
    <col min="1543" max="1543" width="9" style="94"/>
    <col min="1544" max="1544" width="10.75" style="94" bestFit="1" customWidth="1"/>
    <col min="1545" max="1792" width="9" style="94"/>
    <col min="1793" max="1793" width="5.375" style="94" customWidth="1"/>
    <col min="1794" max="1794" width="70.875" style="94" customWidth="1"/>
    <col min="1795" max="1795" width="14.875" style="94" customWidth="1"/>
    <col min="1796" max="1797" width="9" style="94"/>
    <col min="1798" max="1798" width="10.75" style="94" bestFit="1" customWidth="1"/>
    <col min="1799" max="1799" width="9" style="94"/>
    <col min="1800" max="1800" width="10.75" style="94" bestFit="1" customWidth="1"/>
    <col min="1801" max="2048" width="9" style="94"/>
    <col min="2049" max="2049" width="5.375" style="94" customWidth="1"/>
    <col min="2050" max="2050" width="70.875" style="94" customWidth="1"/>
    <col min="2051" max="2051" width="14.875" style="94" customWidth="1"/>
    <col min="2052" max="2053" width="9" style="94"/>
    <col min="2054" max="2054" width="10.75" style="94" bestFit="1" customWidth="1"/>
    <col min="2055" max="2055" width="9" style="94"/>
    <col min="2056" max="2056" width="10.75" style="94" bestFit="1" customWidth="1"/>
    <col min="2057" max="2304" width="9" style="94"/>
    <col min="2305" max="2305" width="5.375" style="94" customWidth="1"/>
    <col min="2306" max="2306" width="70.875" style="94" customWidth="1"/>
    <col min="2307" max="2307" width="14.875" style="94" customWidth="1"/>
    <col min="2308" max="2309" width="9" style="94"/>
    <col min="2310" max="2310" width="10.75" style="94" bestFit="1" customWidth="1"/>
    <col min="2311" max="2311" width="9" style="94"/>
    <col min="2312" max="2312" width="10.75" style="94" bestFit="1" customWidth="1"/>
    <col min="2313" max="2560" width="9" style="94"/>
    <col min="2561" max="2561" width="5.375" style="94" customWidth="1"/>
    <col min="2562" max="2562" width="70.875" style="94" customWidth="1"/>
    <col min="2563" max="2563" width="14.875" style="94" customWidth="1"/>
    <col min="2564" max="2565" width="9" style="94"/>
    <col min="2566" max="2566" width="10.75" style="94" bestFit="1" customWidth="1"/>
    <col min="2567" max="2567" width="9" style="94"/>
    <col min="2568" max="2568" width="10.75" style="94" bestFit="1" customWidth="1"/>
    <col min="2569" max="2816" width="9" style="94"/>
    <col min="2817" max="2817" width="5.375" style="94" customWidth="1"/>
    <col min="2818" max="2818" width="70.875" style="94" customWidth="1"/>
    <col min="2819" max="2819" width="14.875" style="94" customWidth="1"/>
    <col min="2820" max="2821" width="9" style="94"/>
    <col min="2822" max="2822" width="10.75" style="94" bestFit="1" customWidth="1"/>
    <col min="2823" max="2823" width="9" style="94"/>
    <col min="2824" max="2824" width="10.75" style="94" bestFit="1" customWidth="1"/>
    <col min="2825" max="3072" width="9" style="94"/>
    <col min="3073" max="3073" width="5.375" style="94" customWidth="1"/>
    <col min="3074" max="3074" width="70.875" style="94" customWidth="1"/>
    <col min="3075" max="3075" width="14.875" style="94" customWidth="1"/>
    <col min="3076" max="3077" width="9" style="94"/>
    <col min="3078" max="3078" width="10.75" style="94" bestFit="1" customWidth="1"/>
    <col min="3079" max="3079" width="9" style="94"/>
    <col min="3080" max="3080" width="10.75" style="94" bestFit="1" customWidth="1"/>
    <col min="3081" max="3328" width="9" style="94"/>
    <col min="3329" max="3329" width="5.375" style="94" customWidth="1"/>
    <col min="3330" max="3330" width="70.875" style="94" customWidth="1"/>
    <col min="3331" max="3331" width="14.875" style="94" customWidth="1"/>
    <col min="3332" max="3333" width="9" style="94"/>
    <col min="3334" max="3334" width="10.75" style="94" bestFit="1" customWidth="1"/>
    <col min="3335" max="3335" width="9" style="94"/>
    <col min="3336" max="3336" width="10.75" style="94" bestFit="1" customWidth="1"/>
    <col min="3337" max="3584" width="9" style="94"/>
    <col min="3585" max="3585" width="5.375" style="94" customWidth="1"/>
    <col min="3586" max="3586" width="70.875" style="94" customWidth="1"/>
    <col min="3587" max="3587" width="14.875" style="94" customWidth="1"/>
    <col min="3588" max="3589" width="9" style="94"/>
    <col min="3590" max="3590" width="10.75" style="94" bestFit="1" customWidth="1"/>
    <col min="3591" max="3591" width="9" style="94"/>
    <col min="3592" max="3592" width="10.75" style="94" bestFit="1" customWidth="1"/>
    <col min="3593" max="3840" width="9" style="94"/>
    <col min="3841" max="3841" width="5.375" style="94" customWidth="1"/>
    <col min="3842" max="3842" width="70.875" style="94" customWidth="1"/>
    <col min="3843" max="3843" width="14.875" style="94" customWidth="1"/>
    <col min="3844" max="3845" width="9" style="94"/>
    <col min="3846" max="3846" width="10.75" style="94" bestFit="1" customWidth="1"/>
    <col min="3847" max="3847" width="9" style="94"/>
    <col min="3848" max="3848" width="10.75" style="94" bestFit="1" customWidth="1"/>
    <col min="3849" max="4096" width="9" style="94"/>
    <col min="4097" max="4097" width="5.375" style="94" customWidth="1"/>
    <col min="4098" max="4098" width="70.875" style="94" customWidth="1"/>
    <col min="4099" max="4099" width="14.875" style="94" customWidth="1"/>
    <col min="4100" max="4101" width="9" style="94"/>
    <col min="4102" max="4102" width="10.75" style="94" bestFit="1" customWidth="1"/>
    <col min="4103" max="4103" width="9" style="94"/>
    <col min="4104" max="4104" width="10.75" style="94" bestFit="1" customWidth="1"/>
    <col min="4105" max="4352" width="9" style="94"/>
    <col min="4353" max="4353" width="5.375" style="94" customWidth="1"/>
    <col min="4354" max="4354" width="70.875" style="94" customWidth="1"/>
    <col min="4355" max="4355" width="14.875" style="94" customWidth="1"/>
    <col min="4356" max="4357" width="9" style="94"/>
    <col min="4358" max="4358" width="10.75" style="94" bestFit="1" customWidth="1"/>
    <col min="4359" max="4359" width="9" style="94"/>
    <col min="4360" max="4360" width="10.75" style="94" bestFit="1" customWidth="1"/>
    <col min="4361" max="4608" width="9" style="94"/>
    <col min="4609" max="4609" width="5.375" style="94" customWidth="1"/>
    <col min="4610" max="4610" width="70.875" style="94" customWidth="1"/>
    <col min="4611" max="4611" width="14.875" style="94" customWidth="1"/>
    <col min="4612" max="4613" width="9" style="94"/>
    <col min="4614" max="4614" width="10.75" style="94" bestFit="1" customWidth="1"/>
    <col min="4615" max="4615" width="9" style="94"/>
    <col min="4616" max="4616" width="10.75" style="94" bestFit="1" customWidth="1"/>
    <col min="4617" max="4864" width="9" style="94"/>
    <col min="4865" max="4865" width="5.375" style="94" customWidth="1"/>
    <col min="4866" max="4866" width="70.875" style="94" customWidth="1"/>
    <col min="4867" max="4867" width="14.875" style="94" customWidth="1"/>
    <col min="4868" max="4869" width="9" style="94"/>
    <col min="4870" max="4870" width="10.75" style="94" bestFit="1" customWidth="1"/>
    <col min="4871" max="4871" width="9" style="94"/>
    <col min="4872" max="4872" width="10.75" style="94" bestFit="1" customWidth="1"/>
    <col min="4873" max="5120" width="9" style="94"/>
    <col min="5121" max="5121" width="5.375" style="94" customWidth="1"/>
    <col min="5122" max="5122" width="70.875" style="94" customWidth="1"/>
    <col min="5123" max="5123" width="14.875" style="94" customWidth="1"/>
    <col min="5124" max="5125" width="9" style="94"/>
    <col min="5126" max="5126" width="10.75" style="94" bestFit="1" customWidth="1"/>
    <col min="5127" max="5127" width="9" style="94"/>
    <col min="5128" max="5128" width="10.75" style="94" bestFit="1" customWidth="1"/>
    <col min="5129" max="5376" width="9" style="94"/>
    <col min="5377" max="5377" width="5.375" style="94" customWidth="1"/>
    <col min="5378" max="5378" width="70.875" style="94" customWidth="1"/>
    <col min="5379" max="5379" width="14.875" style="94" customWidth="1"/>
    <col min="5380" max="5381" width="9" style="94"/>
    <col min="5382" max="5382" width="10.75" style="94" bestFit="1" customWidth="1"/>
    <col min="5383" max="5383" width="9" style="94"/>
    <col min="5384" max="5384" width="10.75" style="94" bestFit="1" customWidth="1"/>
    <col min="5385" max="5632" width="9" style="94"/>
    <col min="5633" max="5633" width="5.375" style="94" customWidth="1"/>
    <col min="5634" max="5634" width="70.875" style="94" customWidth="1"/>
    <col min="5635" max="5635" width="14.875" style="94" customWidth="1"/>
    <col min="5636" max="5637" width="9" style="94"/>
    <col min="5638" max="5638" width="10.75" style="94" bestFit="1" customWidth="1"/>
    <col min="5639" max="5639" width="9" style="94"/>
    <col min="5640" max="5640" width="10.75" style="94" bestFit="1" customWidth="1"/>
    <col min="5641" max="5888" width="9" style="94"/>
    <col min="5889" max="5889" width="5.375" style="94" customWidth="1"/>
    <col min="5890" max="5890" width="70.875" style="94" customWidth="1"/>
    <col min="5891" max="5891" width="14.875" style="94" customWidth="1"/>
    <col min="5892" max="5893" width="9" style="94"/>
    <col min="5894" max="5894" width="10.75" style="94" bestFit="1" customWidth="1"/>
    <col min="5895" max="5895" width="9" style="94"/>
    <col min="5896" max="5896" width="10.75" style="94" bestFit="1" customWidth="1"/>
    <col min="5897" max="6144" width="9" style="94"/>
    <col min="6145" max="6145" width="5.375" style="94" customWidth="1"/>
    <col min="6146" max="6146" width="70.875" style="94" customWidth="1"/>
    <col min="6147" max="6147" width="14.875" style="94" customWidth="1"/>
    <col min="6148" max="6149" width="9" style="94"/>
    <col min="6150" max="6150" width="10.75" style="94" bestFit="1" customWidth="1"/>
    <col min="6151" max="6151" width="9" style="94"/>
    <col min="6152" max="6152" width="10.75" style="94" bestFit="1" customWidth="1"/>
    <col min="6153" max="6400" width="9" style="94"/>
    <col min="6401" max="6401" width="5.375" style="94" customWidth="1"/>
    <col min="6402" max="6402" width="70.875" style="94" customWidth="1"/>
    <col min="6403" max="6403" width="14.875" style="94" customWidth="1"/>
    <col min="6404" max="6405" width="9" style="94"/>
    <col min="6406" max="6406" width="10.75" style="94" bestFit="1" customWidth="1"/>
    <col min="6407" max="6407" width="9" style="94"/>
    <col min="6408" max="6408" width="10.75" style="94" bestFit="1" customWidth="1"/>
    <col min="6409" max="6656" width="9" style="94"/>
    <col min="6657" max="6657" width="5.375" style="94" customWidth="1"/>
    <col min="6658" max="6658" width="70.875" style="94" customWidth="1"/>
    <col min="6659" max="6659" width="14.875" style="94" customWidth="1"/>
    <col min="6660" max="6661" width="9" style="94"/>
    <col min="6662" max="6662" width="10.75" style="94" bestFit="1" customWidth="1"/>
    <col min="6663" max="6663" width="9" style="94"/>
    <col min="6664" max="6664" width="10.75" style="94" bestFit="1" customWidth="1"/>
    <col min="6665" max="6912" width="9" style="94"/>
    <col min="6913" max="6913" width="5.375" style="94" customWidth="1"/>
    <col min="6914" max="6914" width="70.875" style="94" customWidth="1"/>
    <col min="6915" max="6915" width="14.875" style="94" customWidth="1"/>
    <col min="6916" max="6917" width="9" style="94"/>
    <col min="6918" max="6918" width="10.75" style="94" bestFit="1" customWidth="1"/>
    <col min="6919" max="6919" width="9" style="94"/>
    <col min="6920" max="6920" width="10.75" style="94" bestFit="1" customWidth="1"/>
    <col min="6921" max="7168" width="9" style="94"/>
    <col min="7169" max="7169" width="5.375" style="94" customWidth="1"/>
    <col min="7170" max="7170" width="70.875" style="94" customWidth="1"/>
    <col min="7171" max="7171" width="14.875" style="94" customWidth="1"/>
    <col min="7172" max="7173" width="9" style="94"/>
    <col min="7174" max="7174" width="10.75" style="94" bestFit="1" customWidth="1"/>
    <col min="7175" max="7175" width="9" style="94"/>
    <col min="7176" max="7176" width="10.75" style="94" bestFit="1" customWidth="1"/>
    <col min="7177" max="7424" width="9" style="94"/>
    <col min="7425" max="7425" width="5.375" style="94" customWidth="1"/>
    <col min="7426" max="7426" width="70.875" style="94" customWidth="1"/>
    <col min="7427" max="7427" width="14.875" style="94" customWidth="1"/>
    <col min="7428" max="7429" width="9" style="94"/>
    <col min="7430" max="7430" width="10.75" style="94" bestFit="1" customWidth="1"/>
    <col min="7431" max="7431" width="9" style="94"/>
    <col min="7432" max="7432" width="10.75" style="94" bestFit="1" customWidth="1"/>
    <col min="7433" max="7680" width="9" style="94"/>
    <col min="7681" max="7681" width="5.375" style="94" customWidth="1"/>
    <col min="7682" max="7682" width="70.875" style="94" customWidth="1"/>
    <col min="7683" max="7683" width="14.875" style="94" customWidth="1"/>
    <col min="7684" max="7685" width="9" style="94"/>
    <col min="7686" max="7686" width="10.75" style="94" bestFit="1" customWidth="1"/>
    <col min="7687" max="7687" width="9" style="94"/>
    <col min="7688" max="7688" width="10.75" style="94" bestFit="1" customWidth="1"/>
    <col min="7689" max="7936" width="9" style="94"/>
    <col min="7937" max="7937" width="5.375" style="94" customWidth="1"/>
    <col min="7938" max="7938" width="70.875" style="94" customWidth="1"/>
    <col min="7939" max="7939" width="14.875" style="94" customWidth="1"/>
    <col min="7940" max="7941" width="9" style="94"/>
    <col min="7942" max="7942" width="10.75" style="94" bestFit="1" customWidth="1"/>
    <col min="7943" max="7943" width="9" style="94"/>
    <col min="7944" max="7944" width="10.75" style="94" bestFit="1" customWidth="1"/>
    <col min="7945" max="8192" width="9" style="94"/>
    <col min="8193" max="8193" width="5.375" style="94" customWidth="1"/>
    <col min="8194" max="8194" width="70.875" style="94" customWidth="1"/>
    <col min="8195" max="8195" width="14.875" style="94" customWidth="1"/>
    <col min="8196" max="8197" width="9" style="94"/>
    <col min="8198" max="8198" width="10.75" style="94" bestFit="1" customWidth="1"/>
    <col min="8199" max="8199" width="9" style="94"/>
    <col min="8200" max="8200" width="10.75" style="94" bestFit="1" customWidth="1"/>
    <col min="8201" max="8448" width="9" style="94"/>
    <col min="8449" max="8449" width="5.375" style="94" customWidth="1"/>
    <col min="8450" max="8450" width="70.875" style="94" customWidth="1"/>
    <col min="8451" max="8451" width="14.875" style="94" customWidth="1"/>
    <col min="8452" max="8453" width="9" style="94"/>
    <col min="8454" max="8454" width="10.75" style="94" bestFit="1" customWidth="1"/>
    <col min="8455" max="8455" width="9" style="94"/>
    <col min="8456" max="8456" width="10.75" style="94" bestFit="1" customWidth="1"/>
    <col min="8457" max="8704" width="9" style="94"/>
    <col min="8705" max="8705" width="5.375" style="94" customWidth="1"/>
    <col min="8706" max="8706" width="70.875" style="94" customWidth="1"/>
    <col min="8707" max="8707" width="14.875" style="94" customWidth="1"/>
    <col min="8708" max="8709" width="9" style="94"/>
    <col min="8710" max="8710" width="10.75" style="94" bestFit="1" customWidth="1"/>
    <col min="8711" max="8711" width="9" style="94"/>
    <col min="8712" max="8712" width="10.75" style="94" bestFit="1" customWidth="1"/>
    <col min="8713" max="8960" width="9" style="94"/>
    <col min="8961" max="8961" width="5.375" style="94" customWidth="1"/>
    <col min="8962" max="8962" width="70.875" style="94" customWidth="1"/>
    <col min="8963" max="8963" width="14.875" style="94" customWidth="1"/>
    <col min="8964" max="8965" width="9" style="94"/>
    <col min="8966" max="8966" width="10.75" style="94" bestFit="1" customWidth="1"/>
    <col min="8967" max="8967" width="9" style="94"/>
    <col min="8968" max="8968" width="10.75" style="94" bestFit="1" customWidth="1"/>
    <col min="8969" max="9216" width="9" style="94"/>
    <col min="9217" max="9217" width="5.375" style="94" customWidth="1"/>
    <col min="9218" max="9218" width="70.875" style="94" customWidth="1"/>
    <col min="9219" max="9219" width="14.875" style="94" customWidth="1"/>
    <col min="9220" max="9221" width="9" style="94"/>
    <col min="9222" max="9222" width="10.75" style="94" bestFit="1" customWidth="1"/>
    <col min="9223" max="9223" width="9" style="94"/>
    <col min="9224" max="9224" width="10.75" style="94" bestFit="1" customWidth="1"/>
    <col min="9225" max="9472" width="9" style="94"/>
    <col min="9473" max="9473" width="5.375" style="94" customWidth="1"/>
    <col min="9474" max="9474" width="70.875" style="94" customWidth="1"/>
    <col min="9475" max="9475" width="14.875" style="94" customWidth="1"/>
    <col min="9476" max="9477" width="9" style="94"/>
    <col min="9478" max="9478" width="10.75" style="94" bestFit="1" customWidth="1"/>
    <col min="9479" max="9479" width="9" style="94"/>
    <col min="9480" max="9480" width="10.75" style="94" bestFit="1" customWidth="1"/>
    <col min="9481" max="9728" width="9" style="94"/>
    <col min="9729" max="9729" width="5.375" style="94" customWidth="1"/>
    <col min="9730" max="9730" width="70.875" style="94" customWidth="1"/>
    <col min="9731" max="9731" width="14.875" style="94" customWidth="1"/>
    <col min="9732" max="9733" width="9" style="94"/>
    <col min="9734" max="9734" width="10.75" style="94" bestFit="1" customWidth="1"/>
    <col min="9735" max="9735" width="9" style="94"/>
    <col min="9736" max="9736" width="10.75" style="94" bestFit="1" customWidth="1"/>
    <col min="9737" max="9984" width="9" style="94"/>
    <col min="9985" max="9985" width="5.375" style="94" customWidth="1"/>
    <col min="9986" max="9986" width="70.875" style="94" customWidth="1"/>
    <col min="9987" max="9987" width="14.875" style="94" customWidth="1"/>
    <col min="9988" max="9989" width="9" style="94"/>
    <col min="9990" max="9990" width="10.75" style="94" bestFit="1" customWidth="1"/>
    <col min="9991" max="9991" width="9" style="94"/>
    <col min="9992" max="9992" width="10.75" style="94" bestFit="1" customWidth="1"/>
    <col min="9993" max="10240" width="9" style="94"/>
    <col min="10241" max="10241" width="5.375" style="94" customWidth="1"/>
    <col min="10242" max="10242" width="70.875" style="94" customWidth="1"/>
    <col min="10243" max="10243" width="14.875" style="94" customWidth="1"/>
    <col min="10244" max="10245" width="9" style="94"/>
    <col min="10246" max="10246" width="10.75" style="94" bestFit="1" customWidth="1"/>
    <col min="10247" max="10247" width="9" style="94"/>
    <col min="10248" max="10248" width="10.75" style="94" bestFit="1" customWidth="1"/>
    <col min="10249" max="10496" width="9" style="94"/>
    <col min="10497" max="10497" width="5.375" style="94" customWidth="1"/>
    <col min="10498" max="10498" width="70.875" style="94" customWidth="1"/>
    <col min="10499" max="10499" width="14.875" style="94" customWidth="1"/>
    <col min="10500" max="10501" width="9" style="94"/>
    <col min="10502" max="10502" width="10.75" style="94" bestFit="1" customWidth="1"/>
    <col min="10503" max="10503" width="9" style="94"/>
    <col min="10504" max="10504" width="10.75" style="94" bestFit="1" customWidth="1"/>
    <col min="10505" max="10752" width="9" style="94"/>
    <col min="10753" max="10753" width="5.375" style="94" customWidth="1"/>
    <col min="10754" max="10754" width="70.875" style="94" customWidth="1"/>
    <col min="10755" max="10755" width="14.875" style="94" customWidth="1"/>
    <col min="10756" max="10757" width="9" style="94"/>
    <col min="10758" max="10758" width="10.75" style="94" bestFit="1" customWidth="1"/>
    <col min="10759" max="10759" width="9" style="94"/>
    <col min="10760" max="10760" width="10.75" style="94" bestFit="1" customWidth="1"/>
    <col min="10761" max="11008" width="9" style="94"/>
    <col min="11009" max="11009" width="5.375" style="94" customWidth="1"/>
    <col min="11010" max="11010" width="70.875" style="94" customWidth="1"/>
    <col min="11011" max="11011" width="14.875" style="94" customWidth="1"/>
    <col min="11012" max="11013" width="9" style="94"/>
    <col min="11014" max="11014" width="10.75" style="94" bestFit="1" customWidth="1"/>
    <col min="11015" max="11015" width="9" style="94"/>
    <col min="11016" max="11016" width="10.75" style="94" bestFit="1" customWidth="1"/>
    <col min="11017" max="11264" width="9" style="94"/>
    <col min="11265" max="11265" width="5.375" style="94" customWidth="1"/>
    <col min="11266" max="11266" width="70.875" style="94" customWidth="1"/>
    <col min="11267" max="11267" width="14.875" style="94" customWidth="1"/>
    <col min="11268" max="11269" width="9" style="94"/>
    <col min="11270" max="11270" width="10.75" style="94" bestFit="1" customWidth="1"/>
    <col min="11271" max="11271" width="9" style="94"/>
    <col min="11272" max="11272" width="10.75" style="94" bestFit="1" customWidth="1"/>
    <col min="11273" max="11520" width="9" style="94"/>
    <col min="11521" max="11521" width="5.375" style="94" customWidth="1"/>
    <col min="11522" max="11522" width="70.875" style="94" customWidth="1"/>
    <col min="11523" max="11523" width="14.875" style="94" customWidth="1"/>
    <col min="11524" max="11525" width="9" style="94"/>
    <col min="11526" max="11526" width="10.75" style="94" bestFit="1" customWidth="1"/>
    <col min="11527" max="11527" width="9" style="94"/>
    <col min="11528" max="11528" width="10.75" style="94" bestFit="1" customWidth="1"/>
    <col min="11529" max="11776" width="9" style="94"/>
    <col min="11777" max="11777" width="5.375" style="94" customWidth="1"/>
    <col min="11778" max="11778" width="70.875" style="94" customWidth="1"/>
    <col min="11779" max="11779" width="14.875" style="94" customWidth="1"/>
    <col min="11780" max="11781" width="9" style="94"/>
    <col min="11782" max="11782" width="10.75" style="94" bestFit="1" customWidth="1"/>
    <col min="11783" max="11783" width="9" style="94"/>
    <col min="11784" max="11784" width="10.75" style="94" bestFit="1" customWidth="1"/>
    <col min="11785" max="12032" width="9" style="94"/>
    <col min="12033" max="12033" width="5.375" style="94" customWidth="1"/>
    <col min="12034" max="12034" width="70.875" style="94" customWidth="1"/>
    <col min="12035" max="12035" width="14.875" style="94" customWidth="1"/>
    <col min="12036" max="12037" width="9" style="94"/>
    <col min="12038" max="12038" width="10.75" style="94" bestFit="1" customWidth="1"/>
    <col min="12039" max="12039" width="9" style="94"/>
    <col min="12040" max="12040" width="10.75" style="94" bestFit="1" customWidth="1"/>
    <col min="12041" max="12288" width="9" style="94"/>
    <col min="12289" max="12289" width="5.375" style="94" customWidth="1"/>
    <col min="12290" max="12290" width="70.875" style="94" customWidth="1"/>
    <col min="12291" max="12291" width="14.875" style="94" customWidth="1"/>
    <col min="12292" max="12293" width="9" style="94"/>
    <col min="12294" max="12294" width="10.75" style="94" bestFit="1" customWidth="1"/>
    <col min="12295" max="12295" width="9" style="94"/>
    <col min="12296" max="12296" width="10.75" style="94" bestFit="1" customWidth="1"/>
    <col min="12297" max="12544" width="9" style="94"/>
    <col min="12545" max="12545" width="5.375" style="94" customWidth="1"/>
    <col min="12546" max="12546" width="70.875" style="94" customWidth="1"/>
    <col min="12547" max="12547" width="14.875" style="94" customWidth="1"/>
    <col min="12548" max="12549" width="9" style="94"/>
    <col min="12550" max="12550" width="10.75" style="94" bestFit="1" customWidth="1"/>
    <col min="12551" max="12551" width="9" style="94"/>
    <col min="12552" max="12552" width="10.75" style="94" bestFit="1" customWidth="1"/>
    <col min="12553" max="12800" width="9" style="94"/>
    <col min="12801" max="12801" width="5.375" style="94" customWidth="1"/>
    <col min="12802" max="12802" width="70.875" style="94" customWidth="1"/>
    <col min="12803" max="12803" width="14.875" style="94" customWidth="1"/>
    <col min="12804" max="12805" width="9" style="94"/>
    <col min="12806" max="12806" width="10.75" style="94" bestFit="1" customWidth="1"/>
    <col min="12807" max="12807" width="9" style="94"/>
    <col min="12808" max="12808" width="10.75" style="94" bestFit="1" customWidth="1"/>
    <col min="12809" max="13056" width="9" style="94"/>
    <col min="13057" max="13057" width="5.375" style="94" customWidth="1"/>
    <col min="13058" max="13058" width="70.875" style="94" customWidth="1"/>
    <col min="13059" max="13059" width="14.875" style="94" customWidth="1"/>
    <col min="13060" max="13061" width="9" style="94"/>
    <col min="13062" max="13062" width="10.75" style="94" bestFit="1" customWidth="1"/>
    <col min="13063" max="13063" width="9" style="94"/>
    <col min="13064" max="13064" width="10.75" style="94" bestFit="1" customWidth="1"/>
    <col min="13065" max="13312" width="9" style="94"/>
    <col min="13313" max="13313" width="5.375" style="94" customWidth="1"/>
    <col min="13314" max="13314" width="70.875" style="94" customWidth="1"/>
    <col min="13315" max="13315" width="14.875" style="94" customWidth="1"/>
    <col min="13316" max="13317" width="9" style="94"/>
    <col min="13318" max="13318" width="10.75" style="94" bestFit="1" customWidth="1"/>
    <col min="13319" max="13319" width="9" style="94"/>
    <col min="13320" max="13320" width="10.75" style="94" bestFit="1" customWidth="1"/>
    <col min="13321" max="13568" width="9" style="94"/>
    <col min="13569" max="13569" width="5.375" style="94" customWidth="1"/>
    <col min="13570" max="13570" width="70.875" style="94" customWidth="1"/>
    <col min="13571" max="13571" width="14.875" style="94" customWidth="1"/>
    <col min="13572" max="13573" width="9" style="94"/>
    <col min="13574" max="13574" width="10.75" style="94" bestFit="1" customWidth="1"/>
    <col min="13575" max="13575" width="9" style="94"/>
    <col min="13576" max="13576" width="10.75" style="94" bestFit="1" customWidth="1"/>
    <col min="13577" max="13824" width="9" style="94"/>
    <col min="13825" max="13825" width="5.375" style="94" customWidth="1"/>
    <col min="13826" max="13826" width="70.875" style="94" customWidth="1"/>
    <col min="13827" max="13827" width="14.875" style="94" customWidth="1"/>
    <col min="13828" max="13829" width="9" style="94"/>
    <col min="13830" max="13830" width="10.75" style="94" bestFit="1" customWidth="1"/>
    <col min="13831" max="13831" width="9" style="94"/>
    <col min="13832" max="13832" width="10.75" style="94" bestFit="1" customWidth="1"/>
    <col min="13833" max="14080" width="9" style="94"/>
    <col min="14081" max="14081" width="5.375" style="94" customWidth="1"/>
    <col min="14082" max="14082" width="70.875" style="94" customWidth="1"/>
    <col min="14083" max="14083" width="14.875" style="94" customWidth="1"/>
    <col min="14084" max="14085" width="9" style="94"/>
    <col min="14086" max="14086" width="10.75" style="94" bestFit="1" customWidth="1"/>
    <col min="14087" max="14087" width="9" style="94"/>
    <col min="14088" max="14088" width="10.75" style="94" bestFit="1" customWidth="1"/>
    <col min="14089" max="14336" width="9" style="94"/>
    <col min="14337" max="14337" width="5.375" style="94" customWidth="1"/>
    <col min="14338" max="14338" width="70.875" style="94" customWidth="1"/>
    <col min="14339" max="14339" width="14.875" style="94" customWidth="1"/>
    <col min="14340" max="14341" width="9" style="94"/>
    <col min="14342" max="14342" width="10.75" style="94" bestFit="1" customWidth="1"/>
    <col min="14343" max="14343" width="9" style="94"/>
    <col min="14344" max="14344" width="10.75" style="94" bestFit="1" customWidth="1"/>
    <col min="14345" max="14592" width="9" style="94"/>
    <col min="14593" max="14593" width="5.375" style="94" customWidth="1"/>
    <col min="14594" max="14594" width="70.875" style="94" customWidth="1"/>
    <col min="14595" max="14595" width="14.875" style="94" customWidth="1"/>
    <col min="14596" max="14597" width="9" style="94"/>
    <col min="14598" max="14598" width="10.75" style="94" bestFit="1" customWidth="1"/>
    <col min="14599" max="14599" width="9" style="94"/>
    <col min="14600" max="14600" width="10.75" style="94" bestFit="1" customWidth="1"/>
    <col min="14601" max="14848" width="9" style="94"/>
    <col min="14849" max="14849" width="5.375" style="94" customWidth="1"/>
    <col min="14850" max="14850" width="70.875" style="94" customWidth="1"/>
    <col min="14851" max="14851" width="14.875" style="94" customWidth="1"/>
    <col min="14852" max="14853" width="9" style="94"/>
    <col min="14854" max="14854" width="10.75" style="94" bestFit="1" customWidth="1"/>
    <col min="14855" max="14855" width="9" style="94"/>
    <col min="14856" max="14856" width="10.75" style="94" bestFit="1" customWidth="1"/>
    <col min="14857" max="15104" width="9" style="94"/>
    <col min="15105" max="15105" width="5.375" style="94" customWidth="1"/>
    <col min="15106" max="15106" width="70.875" style="94" customWidth="1"/>
    <col min="15107" max="15107" width="14.875" style="94" customWidth="1"/>
    <col min="15108" max="15109" width="9" style="94"/>
    <col min="15110" max="15110" width="10.75" style="94" bestFit="1" customWidth="1"/>
    <col min="15111" max="15111" width="9" style="94"/>
    <col min="15112" max="15112" width="10.75" style="94" bestFit="1" customWidth="1"/>
    <col min="15113" max="15360" width="9" style="94"/>
    <col min="15361" max="15361" width="5.375" style="94" customWidth="1"/>
    <col min="15362" max="15362" width="70.875" style="94" customWidth="1"/>
    <col min="15363" max="15363" width="14.875" style="94" customWidth="1"/>
    <col min="15364" max="15365" width="9" style="94"/>
    <col min="15366" max="15366" width="10.75" style="94" bestFit="1" customWidth="1"/>
    <col min="15367" max="15367" width="9" style="94"/>
    <col min="15368" max="15368" width="10.75" style="94" bestFit="1" customWidth="1"/>
    <col min="15369" max="15616" width="9" style="94"/>
    <col min="15617" max="15617" width="5.375" style="94" customWidth="1"/>
    <col min="15618" max="15618" width="70.875" style="94" customWidth="1"/>
    <col min="15619" max="15619" width="14.875" style="94" customWidth="1"/>
    <col min="15620" max="15621" width="9" style="94"/>
    <col min="15622" max="15622" width="10.75" style="94" bestFit="1" customWidth="1"/>
    <col min="15623" max="15623" width="9" style="94"/>
    <col min="15624" max="15624" width="10.75" style="94" bestFit="1" customWidth="1"/>
    <col min="15625" max="15872" width="9" style="94"/>
    <col min="15873" max="15873" width="5.375" style="94" customWidth="1"/>
    <col min="15874" max="15874" width="70.875" style="94" customWidth="1"/>
    <col min="15875" max="15875" width="14.875" style="94" customWidth="1"/>
    <col min="15876" max="15877" width="9" style="94"/>
    <col min="15878" max="15878" width="10.75" style="94" bestFit="1" customWidth="1"/>
    <col min="15879" max="15879" width="9" style="94"/>
    <col min="15880" max="15880" width="10.75" style="94" bestFit="1" customWidth="1"/>
    <col min="15881" max="16128" width="9" style="94"/>
    <col min="16129" max="16129" width="5.375" style="94" customWidth="1"/>
    <col min="16130" max="16130" width="70.875" style="94" customWidth="1"/>
    <col min="16131" max="16131" width="14.875" style="94" customWidth="1"/>
    <col min="16132" max="16133" width="9" style="94"/>
    <col min="16134" max="16134" width="10.75" style="94" bestFit="1" customWidth="1"/>
    <col min="16135" max="16135" width="9" style="94"/>
    <col min="16136" max="16136" width="10.75" style="94" bestFit="1" customWidth="1"/>
    <col min="16137" max="16384" width="9" style="94"/>
  </cols>
  <sheetData>
    <row r="1" spans="1:8" ht="21">
      <c r="A1" s="1367" t="s">
        <v>1105</v>
      </c>
      <c r="B1" s="1367"/>
      <c r="C1" s="1367"/>
    </row>
    <row r="2" spans="1:8" ht="21">
      <c r="A2" s="835"/>
      <c r="B2" s="835" t="s">
        <v>1558</v>
      </c>
      <c r="C2" s="937"/>
    </row>
    <row r="3" spans="1:8" ht="21">
      <c r="A3" s="1368" t="s">
        <v>1559</v>
      </c>
      <c r="B3" s="1368"/>
      <c r="C3" s="1368"/>
    </row>
    <row r="4" spans="1:8" ht="21.75" thickBot="1">
      <c r="A4" s="867"/>
      <c r="B4" s="867"/>
      <c r="C4" s="938"/>
    </row>
    <row r="5" spans="1:8" s="836" customFormat="1">
      <c r="A5" s="95"/>
      <c r="B5" s="95" t="s">
        <v>0</v>
      </c>
      <c r="C5" s="939" t="s">
        <v>1</v>
      </c>
    </row>
    <row r="6" spans="1:8" ht="19.5" thickBot="1">
      <c r="A6" s="839"/>
      <c r="B6" s="840" t="s">
        <v>1371</v>
      </c>
      <c r="C6" s="1011" t="s">
        <v>2</v>
      </c>
    </row>
    <row r="7" spans="1:8" ht="19.5" thickBot="1">
      <c r="A7" s="869">
        <v>1</v>
      </c>
      <c r="B7" s="870" t="s">
        <v>1046</v>
      </c>
      <c r="C7" s="979">
        <v>7274000</v>
      </c>
      <c r="D7" s="97"/>
      <c r="F7" s="1012"/>
      <c r="H7" s="1012"/>
    </row>
    <row r="8" spans="1:8" s="101" customFormat="1" ht="23.25" customHeight="1">
      <c r="A8" s="98"/>
      <c r="B8" s="178" t="s">
        <v>1560</v>
      </c>
      <c r="C8" s="1013">
        <v>810000</v>
      </c>
      <c r="F8" s="1014"/>
    </row>
    <row r="9" spans="1:8" s="105" customFormat="1" ht="23.25" customHeight="1">
      <c r="A9" s="958"/>
      <c r="B9" s="178" t="s">
        <v>1561</v>
      </c>
      <c r="C9" s="1013">
        <v>792000</v>
      </c>
      <c r="F9" s="1015"/>
    </row>
    <row r="10" spans="1:8" s="105" customFormat="1" ht="23.25" customHeight="1">
      <c r="A10" s="958"/>
      <c r="B10" s="178" t="s">
        <v>1562</v>
      </c>
      <c r="C10" s="1013">
        <v>960000</v>
      </c>
    </row>
    <row r="11" spans="1:8" s="105" customFormat="1" ht="23.25" customHeight="1">
      <c r="A11" s="958"/>
      <c r="B11" s="178" t="s">
        <v>1563</v>
      </c>
      <c r="C11" s="1013">
        <v>600000</v>
      </c>
      <c r="F11" s="1015"/>
    </row>
    <row r="12" spans="1:8" s="105" customFormat="1" ht="23.25" customHeight="1">
      <c r="A12" s="958"/>
      <c r="B12" s="178" t="s">
        <v>1564</v>
      </c>
      <c r="C12" s="1013">
        <v>500000</v>
      </c>
    </row>
    <row r="13" spans="1:8" s="105" customFormat="1" ht="23.25" customHeight="1">
      <c r="A13" s="958"/>
      <c r="B13" s="178" t="s">
        <v>1565</v>
      </c>
      <c r="C13" s="1013">
        <v>480000</v>
      </c>
    </row>
    <row r="14" spans="1:8" s="105" customFormat="1" ht="23.25" customHeight="1">
      <c r="A14" s="958"/>
      <c r="B14" s="178" t="s">
        <v>1566</v>
      </c>
      <c r="C14" s="1016">
        <v>1650000</v>
      </c>
    </row>
    <row r="15" spans="1:8" s="105" customFormat="1" ht="23.25" customHeight="1">
      <c r="A15" s="958"/>
      <c r="B15" s="178" t="s">
        <v>1567</v>
      </c>
      <c r="C15" s="1016">
        <v>1050000</v>
      </c>
    </row>
    <row r="16" spans="1:8" s="105" customFormat="1" ht="23.25" customHeight="1" thickBot="1">
      <c r="A16" s="958"/>
      <c r="B16" s="1" t="s">
        <v>1568</v>
      </c>
      <c r="C16" s="1016">
        <v>432000</v>
      </c>
    </row>
    <row r="17" spans="1:7" s="105" customFormat="1" ht="26.25" customHeight="1" thickBot="1">
      <c r="A17" s="869">
        <v>2</v>
      </c>
      <c r="B17" s="1017" t="s">
        <v>1569</v>
      </c>
      <c r="C17" s="979">
        <f>SUM(C18:C25)</f>
        <v>2878500</v>
      </c>
    </row>
    <row r="18" spans="1:7" s="101" customFormat="1" ht="23.25" customHeight="1">
      <c r="A18" s="110"/>
      <c r="B18" s="112" t="s">
        <v>1570</v>
      </c>
      <c r="C18" s="1018">
        <v>1920000</v>
      </c>
    </row>
    <row r="19" spans="1:7" s="101" customFormat="1" ht="23.25" customHeight="1">
      <c r="A19" s="110"/>
      <c r="B19" s="112" t="s">
        <v>1571</v>
      </c>
      <c r="C19" s="1018">
        <v>84000</v>
      </c>
    </row>
    <row r="20" spans="1:7" s="105" customFormat="1">
      <c r="A20" s="958"/>
      <c r="B20" s="956" t="s">
        <v>1572</v>
      </c>
      <c r="C20" s="1016">
        <v>640000</v>
      </c>
    </row>
    <row r="21" spans="1:7" s="105" customFormat="1">
      <c r="A21" s="958"/>
      <c r="B21" s="956" t="s">
        <v>1573</v>
      </c>
      <c r="C21" s="1016">
        <v>22500</v>
      </c>
    </row>
    <row r="22" spans="1:7" s="105" customFormat="1">
      <c r="A22" s="958"/>
      <c r="B22" s="956" t="s">
        <v>1574</v>
      </c>
      <c r="C22" s="1016">
        <v>60000</v>
      </c>
    </row>
    <row r="23" spans="1:7" s="105" customFormat="1">
      <c r="A23" s="958"/>
      <c r="B23" s="956" t="s">
        <v>1575</v>
      </c>
      <c r="C23" s="1016">
        <v>12000</v>
      </c>
    </row>
    <row r="24" spans="1:7" s="105" customFormat="1">
      <c r="A24" s="959"/>
      <c r="B24" s="956" t="s">
        <v>1576</v>
      </c>
      <c r="C24" s="1019">
        <v>90000</v>
      </c>
    </row>
    <row r="25" spans="1:7" s="105" customFormat="1" ht="19.5" thickBot="1">
      <c r="A25" s="959"/>
      <c r="B25" s="1020" t="s">
        <v>1577</v>
      </c>
      <c r="C25" s="1019">
        <v>50000</v>
      </c>
    </row>
    <row r="26" spans="1:7" s="106" customFormat="1" ht="23.25" customHeight="1" thickBot="1">
      <c r="A26" s="869">
        <v>3</v>
      </c>
      <c r="B26" s="870" t="s">
        <v>1522</v>
      </c>
      <c r="C26" s="979">
        <f>SUM(C27,C36)</f>
        <v>5186450</v>
      </c>
      <c r="G26" s="1021"/>
    </row>
    <row r="27" spans="1:7" s="101" customFormat="1" ht="23.25" customHeight="1">
      <c r="A27" s="110"/>
      <c r="B27" s="112" t="s">
        <v>1578</v>
      </c>
      <c r="C27" s="1022">
        <f>SUM(C28:C35)</f>
        <v>558050</v>
      </c>
      <c r="G27" s="1014"/>
    </row>
    <row r="28" spans="1:7" s="105" customFormat="1">
      <c r="A28" s="958"/>
      <c r="B28" s="956" t="s">
        <v>1579</v>
      </c>
      <c r="C28" s="1016">
        <v>100000</v>
      </c>
      <c r="D28" s="1015"/>
      <c r="F28" s="1015"/>
    </row>
    <row r="29" spans="1:7" s="105" customFormat="1">
      <c r="A29" s="958"/>
      <c r="B29" s="112" t="s">
        <v>1580</v>
      </c>
      <c r="C29" s="1016">
        <v>300000</v>
      </c>
      <c r="D29" s="1015"/>
      <c r="F29" s="1015"/>
    </row>
    <row r="30" spans="1:7" s="105" customFormat="1">
      <c r="A30" s="958"/>
      <c r="B30" s="956" t="s">
        <v>1581</v>
      </c>
      <c r="C30" s="1016">
        <v>42000</v>
      </c>
      <c r="D30" s="1015"/>
      <c r="F30" s="1015"/>
    </row>
    <row r="31" spans="1:7" s="105" customFormat="1">
      <c r="A31" s="958"/>
      <c r="B31" s="1023" t="s">
        <v>1582</v>
      </c>
      <c r="C31" s="1016">
        <v>30000</v>
      </c>
      <c r="D31" s="1015"/>
      <c r="F31" s="1015"/>
    </row>
    <row r="32" spans="1:7" s="105" customFormat="1">
      <c r="A32" s="958"/>
      <c r="B32" s="1" t="s">
        <v>1583</v>
      </c>
      <c r="C32" s="1016">
        <v>4800</v>
      </c>
      <c r="D32" s="1015"/>
      <c r="F32" s="1015"/>
    </row>
    <row r="33" spans="1:7" s="101" customFormat="1" ht="23.25" customHeight="1">
      <c r="A33" s="110"/>
      <c r="B33" s="112" t="s">
        <v>1584</v>
      </c>
      <c r="C33" s="1018">
        <v>11250</v>
      </c>
      <c r="D33" s="1014"/>
      <c r="F33" s="1014"/>
    </row>
    <row r="34" spans="1:7" s="101" customFormat="1" ht="23.25" customHeight="1">
      <c r="A34" s="110"/>
      <c r="B34" s="112" t="s">
        <v>1585</v>
      </c>
      <c r="C34" s="1018">
        <v>60000</v>
      </c>
      <c r="D34" s="1014"/>
      <c r="F34" s="1014"/>
    </row>
    <row r="35" spans="1:7" s="101" customFormat="1" ht="23.25" customHeight="1">
      <c r="A35" s="110"/>
      <c r="B35" s="112" t="s">
        <v>1401</v>
      </c>
      <c r="C35" s="1018">
        <v>10000</v>
      </c>
      <c r="D35" s="1014"/>
      <c r="F35" s="1014"/>
    </row>
    <row r="36" spans="1:7" s="101" customFormat="1" ht="23.25" customHeight="1">
      <c r="A36" s="110"/>
      <c r="B36" s="112" t="s">
        <v>1586</v>
      </c>
      <c r="C36" s="1022">
        <f>SUM(C37:C40)</f>
        <v>4628400</v>
      </c>
    </row>
    <row r="37" spans="1:7" s="101" customFormat="1" ht="23.25" customHeight="1">
      <c r="A37" s="110"/>
      <c r="B37" s="112" t="s">
        <v>1587</v>
      </c>
      <c r="C37" s="1018">
        <v>200000</v>
      </c>
    </row>
    <row r="38" spans="1:7" s="105" customFormat="1">
      <c r="A38" s="958"/>
      <c r="B38" s="956" t="s">
        <v>1588</v>
      </c>
      <c r="C38" s="1016">
        <v>348400</v>
      </c>
    </row>
    <row r="39" spans="1:7" s="105" customFormat="1">
      <c r="A39" s="958"/>
      <c r="B39" s="1" t="s">
        <v>1589</v>
      </c>
      <c r="C39" s="1016">
        <v>480000</v>
      </c>
    </row>
    <row r="40" spans="1:7" s="105" customFormat="1" ht="19.5" thickBot="1">
      <c r="A40" s="958"/>
      <c r="B40" s="1" t="s">
        <v>1590</v>
      </c>
      <c r="C40" s="1016">
        <v>3600000</v>
      </c>
      <c r="G40" s="1015"/>
    </row>
    <row r="41" spans="1:7" s="105" customFormat="1" ht="19.5" thickBot="1">
      <c r="A41" s="869">
        <v>4</v>
      </c>
      <c r="B41" s="870" t="s">
        <v>1591</v>
      </c>
      <c r="C41" s="979">
        <f>SUM(C42:C46)</f>
        <v>328000</v>
      </c>
    </row>
    <row r="42" spans="1:7" s="105" customFormat="1">
      <c r="A42" s="839"/>
      <c r="B42" s="955" t="s">
        <v>1592</v>
      </c>
      <c r="C42" s="1024">
        <v>40000</v>
      </c>
    </row>
    <row r="43" spans="1:7" s="105" customFormat="1">
      <c r="A43" s="958"/>
      <c r="B43" s="956" t="s">
        <v>1593</v>
      </c>
      <c r="C43" s="1016">
        <v>20000</v>
      </c>
    </row>
    <row r="44" spans="1:7" s="105" customFormat="1">
      <c r="A44" s="958"/>
      <c r="B44" s="956" t="s">
        <v>1594</v>
      </c>
      <c r="C44" s="1013">
        <v>48000</v>
      </c>
    </row>
    <row r="45" spans="1:7" s="105" customFormat="1">
      <c r="A45" s="958"/>
      <c r="B45" s="956" t="s">
        <v>1595</v>
      </c>
      <c r="C45" s="1013">
        <v>60000</v>
      </c>
    </row>
    <row r="46" spans="1:7" s="105" customFormat="1" ht="19.5" thickBot="1">
      <c r="A46" s="958"/>
      <c r="B46" s="956" t="s">
        <v>1596</v>
      </c>
      <c r="C46" s="1013">
        <v>160000</v>
      </c>
    </row>
    <row r="47" spans="1:7" s="105" customFormat="1" ht="19.5" thickBot="1">
      <c r="A47" s="869">
        <v>5</v>
      </c>
      <c r="B47" s="870" t="s">
        <v>1122</v>
      </c>
      <c r="C47" s="979">
        <f>SUM(C48:C50)</f>
        <v>333050</v>
      </c>
    </row>
    <row r="48" spans="1:7" s="105" customFormat="1">
      <c r="A48" s="958"/>
      <c r="B48" s="178" t="s">
        <v>1597</v>
      </c>
      <c r="C48" s="1016">
        <v>180000</v>
      </c>
    </row>
    <row r="49" spans="1:7" s="105" customFormat="1">
      <c r="A49" s="958"/>
      <c r="B49" s="178" t="s">
        <v>1400</v>
      </c>
      <c r="C49" s="1016">
        <v>70000</v>
      </c>
      <c r="F49" s="1015"/>
    </row>
    <row r="50" spans="1:7" s="105" customFormat="1" ht="19.5" thickBot="1">
      <c r="A50" s="958"/>
      <c r="B50" s="178" t="s">
        <v>1401</v>
      </c>
      <c r="C50" s="1025">
        <v>83050</v>
      </c>
      <c r="F50" s="1015"/>
    </row>
    <row r="51" spans="1:7" ht="23.25" customHeight="1">
      <c r="A51" s="130"/>
      <c r="B51" s="131"/>
      <c r="C51" s="1026"/>
      <c r="E51" s="1012"/>
    </row>
    <row r="52" spans="1:7" ht="23.25" customHeight="1">
      <c r="A52" s="133"/>
      <c r="B52" s="134" t="s">
        <v>1598</v>
      </c>
      <c r="C52" s="1027">
        <f>SUM(C47,C41,C26,C17,C7)</f>
        <v>16000000</v>
      </c>
      <c r="G52" s="1012"/>
    </row>
    <row r="53" spans="1:7" ht="23.25" customHeight="1" thickBot="1">
      <c r="A53" s="136"/>
      <c r="B53" s="137"/>
      <c r="C53" s="1028"/>
    </row>
    <row r="54" spans="1:7" ht="21.75" customHeight="1">
      <c r="B54" s="97"/>
    </row>
    <row r="55" spans="1:7" ht="21.75" customHeight="1"/>
  </sheetData>
  <mergeCells count="2">
    <mergeCell ref="A1:C1"/>
    <mergeCell ref="A3:C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L103"/>
  <sheetViews>
    <sheetView workbookViewId="0">
      <selection sqref="A1:G1"/>
    </sheetView>
  </sheetViews>
  <sheetFormatPr defaultColWidth="9.125" defaultRowHeight="18.75"/>
  <cols>
    <col min="1" max="1" width="5" style="1043" customWidth="1"/>
    <col min="2" max="2" width="40.125" style="1029" customWidth="1"/>
    <col min="3" max="3" width="11.375" style="1043" customWidth="1"/>
    <col min="4" max="4" width="11.75" style="1047" customWidth="1"/>
    <col min="5" max="5" width="11" style="1043" customWidth="1"/>
    <col min="6" max="6" width="12.25" style="1029" customWidth="1"/>
    <col min="7" max="7" width="13.625" style="1047" customWidth="1"/>
    <col min="8" max="9" width="9.125" style="1029"/>
    <col min="10" max="10" width="12.875" style="1029" customWidth="1"/>
    <col min="11" max="11" width="9.125" style="1029"/>
    <col min="12" max="12" width="11.375" style="1029" bestFit="1" customWidth="1"/>
    <col min="13" max="256" width="9.125" style="1029"/>
    <col min="257" max="257" width="5" style="1029" customWidth="1"/>
    <col min="258" max="258" width="40.125" style="1029" customWidth="1"/>
    <col min="259" max="259" width="11.375" style="1029" customWidth="1"/>
    <col min="260" max="260" width="11.75" style="1029" customWidth="1"/>
    <col min="261" max="261" width="11" style="1029" customWidth="1"/>
    <col min="262" max="262" width="12.25" style="1029" customWidth="1"/>
    <col min="263" max="263" width="13.625" style="1029" customWidth="1"/>
    <col min="264" max="265" width="9.125" style="1029"/>
    <col min="266" max="266" width="12.875" style="1029" customWidth="1"/>
    <col min="267" max="267" width="9.125" style="1029"/>
    <col min="268" max="268" width="11.375" style="1029" bestFit="1" customWidth="1"/>
    <col min="269" max="512" width="9.125" style="1029"/>
    <col min="513" max="513" width="5" style="1029" customWidth="1"/>
    <col min="514" max="514" width="40.125" style="1029" customWidth="1"/>
    <col min="515" max="515" width="11.375" style="1029" customWidth="1"/>
    <col min="516" max="516" width="11.75" style="1029" customWidth="1"/>
    <col min="517" max="517" width="11" style="1029" customWidth="1"/>
    <col min="518" max="518" width="12.25" style="1029" customWidth="1"/>
    <col min="519" max="519" width="13.625" style="1029" customWidth="1"/>
    <col min="520" max="521" width="9.125" style="1029"/>
    <col min="522" max="522" width="12.875" style="1029" customWidth="1"/>
    <col min="523" max="523" width="9.125" style="1029"/>
    <col min="524" max="524" width="11.375" style="1029" bestFit="1" customWidth="1"/>
    <col min="525" max="768" width="9.125" style="1029"/>
    <col min="769" max="769" width="5" style="1029" customWidth="1"/>
    <col min="770" max="770" width="40.125" style="1029" customWidth="1"/>
    <col min="771" max="771" width="11.375" style="1029" customWidth="1"/>
    <col min="772" max="772" width="11.75" style="1029" customWidth="1"/>
    <col min="773" max="773" width="11" style="1029" customWidth="1"/>
    <col min="774" max="774" width="12.25" style="1029" customWidth="1"/>
    <col min="775" max="775" width="13.625" style="1029" customWidth="1"/>
    <col min="776" max="777" width="9.125" style="1029"/>
    <col min="778" max="778" width="12.875" style="1029" customWidth="1"/>
    <col min="779" max="779" width="9.125" style="1029"/>
    <col min="780" max="780" width="11.375" style="1029" bestFit="1" customWidth="1"/>
    <col min="781" max="1024" width="9.125" style="1029"/>
    <col min="1025" max="1025" width="5" style="1029" customWidth="1"/>
    <col min="1026" max="1026" width="40.125" style="1029" customWidth="1"/>
    <col min="1027" max="1027" width="11.375" style="1029" customWidth="1"/>
    <col min="1028" max="1028" width="11.75" style="1029" customWidth="1"/>
    <col min="1029" max="1029" width="11" style="1029" customWidth="1"/>
    <col min="1030" max="1030" width="12.25" style="1029" customWidth="1"/>
    <col min="1031" max="1031" width="13.625" style="1029" customWidth="1"/>
    <col min="1032" max="1033" width="9.125" style="1029"/>
    <col min="1034" max="1034" width="12.875" style="1029" customWidth="1"/>
    <col min="1035" max="1035" width="9.125" style="1029"/>
    <col min="1036" max="1036" width="11.375" style="1029" bestFit="1" customWidth="1"/>
    <col min="1037" max="1280" width="9.125" style="1029"/>
    <col min="1281" max="1281" width="5" style="1029" customWidth="1"/>
    <col min="1282" max="1282" width="40.125" style="1029" customWidth="1"/>
    <col min="1283" max="1283" width="11.375" style="1029" customWidth="1"/>
    <col min="1284" max="1284" width="11.75" style="1029" customWidth="1"/>
    <col min="1285" max="1285" width="11" style="1029" customWidth="1"/>
    <col min="1286" max="1286" width="12.25" style="1029" customWidth="1"/>
    <col min="1287" max="1287" width="13.625" style="1029" customWidth="1"/>
    <col min="1288" max="1289" width="9.125" style="1029"/>
    <col min="1290" max="1290" width="12.875" style="1029" customWidth="1"/>
    <col min="1291" max="1291" width="9.125" style="1029"/>
    <col min="1292" max="1292" width="11.375" style="1029" bestFit="1" customWidth="1"/>
    <col min="1293" max="1536" width="9.125" style="1029"/>
    <col min="1537" max="1537" width="5" style="1029" customWidth="1"/>
    <col min="1538" max="1538" width="40.125" style="1029" customWidth="1"/>
    <col min="1539" max="1539" width="11.375" style="1029" customWidth="1"/>
    <col min="1540" max="1540" width="11.75" style="1029" customWidth="1"/>
    <col min="1541" max="1541" width="11" style="1029" customWidth="1"/>
    <col min="1542" max="1542" width="12.25" style="1029" customWidth="1"/>
    <col min="1543" max="1543" width="13.625" style="1029" customWidth="1"/>
    <col min="1544" max="1545" width="9.125" style="1029"/>
    <col min="1546" max="1546" width="12.875" style="1029" customWidth="1"/>
    <col min="1547" max="1547" width="9.125" style="1029"/>
    <col min="1548" max="1548" width="11.375" style="1029" bestFit="1" customWidth="1"/>
    <col min="1549" max="1792" width="9.125" style="1029"/>
    <col min="1793" max="1793" width="5" style="1029" customWidth="1"/>
    <col min="1794" max="1794" width="40.125" style="1029" customWidth="1"/>
    <col min="1795" max="1795" width="11.375" style="1029" customWidth="1"/>
    <col min="1796" max="1796" width="11.75" style="1029" customWidth="1"/>
    <col min="1797" max="1797" width="11" style="1029" customWidth="1"/>
    <col min="1798" max="1798" width="12.25" style="1029" customWidth="1"/>
    <col min="1799" max="1799" width="13.625" style="1029" customWidth="1"/>
    <col min="1800" max="1801" width="9.125" style="1029"/>
    <col min="1802" max="1802" width="12.875" style="1029" customWidth="1"/>
    <col min="1803" max="1803" width="9.125" style="1029"/>
    <col min="1804" max="1804" width="11.375" style="1029" bestFit="1" customWidth="1"/>
    <col min="1805" max="2048" width="9.125" style="1029"/>
    <col min="2049" max="2049" width="5" style="1029" customWidth="1"/>
    <col min="2050" max="2050" width="40.125" style="1029" customWidth="1"/>
    <col min="2051" max="2051" width="11.375" style="1029" customWidth="1"/>
    <col min="2052" max="2052" width="11.75" style="1029" customWidth="1"/>
    <col min="2053" max="2053" width="11" style="1029" customWidth="1"/>
    <col min="2054" max="2054" width="12.25" style="1029" customWidth="1"/>
    <col min="2055" max="2055" width="13.625" style="1029" customWidth="1"/>
    <col min="2056" max="2057" width="9.125" style="1029"/>
    <col min="2058" max="2058" width="12.875" style="1029" customWidth="1"/>
    <col min="2059" max="2059" width="9.125" style="1029"/>
    <col min="2060" max="2060" width="11.375" style="1029" bestFit="1" customWidth="1"/>
    <col min="2061" max="2304" width="9.125" style="1029"/>
    <col min="2305" max="2305" width="5" style="1029" customWidth="1"/>
    <col min="2306" max="2306" width="40.125" style="1029" customWidth="1"/>
    <col min="2307" max="2307" width="11.375" style="1029" customWidth="1"/>
    <col min="2308" max="2308" width="11.75" style="1029" customWidth="1"/>
    <col min="2309" max="2309" width="11" style="1029" customWidth="1"/>
    <col min="2310" max="2310" width="12.25" style="1029" customWidth="1"/>
    <col min="2311" max="2311" width="13.625" style="1029" customWidth="1"/>
    <col min="2312" max="2313" width="9.125" style="1029"/>
    <col min="2314" max="2314" width="12.875" style="1029" customWidth="1"/>
    <col min="2315" max="2315" width="9.125" style="1029"/>
    <col min="2316" max="2316" width="11.375" style="1029" bestFit="1" customWidth="1"/>
    <col min="2317" max="2560" width="9.125" style="1029"/>
    <col min="2561" max="2561" width="5" style="1029" customWidth="1"/>
    <col min="2562" max="2562" width="40.125" style="1029" customWidth="1"/>
    <col min="2563" max="2563" width="11.375" style="1029" customWidth="1"/>
    <col min="2564" max="2564" width="11.75" style="1029" customWidth="1"/>
    <col min="2565" max="2565" width="11" style="1029" customWidth="1"/>
    <col min="2566" max="2566" width="12.25" style="1029" customWidth="1"/>
    <col min="2567" max="2567" width="13.625" style="1029" customWidth="1"/>
    <col min="2568" max="2569" width="9.125" style="1029"/>
    <col min="2570" max="2570" width="12.875" style="1029" customWidth="1"/>
    <col min="2571" max="2571" width="9.125" style="1029"/>
    <col min="2572" max="2572" width="11.375" style="1029" bestFit="1" customWidth="1"/>
    <col min="2573" max="2816" width="9.125" style="1029"/>
    <col min="2817" max="2817" width="5" style="1029" customWidth="1"/>
    <col min="2818" max="2818" width="40.125" style="1029" customWidth="1"/>
    <col min="2819" max="2819" width="11.375" style="1029" customWidth="1"/>
    <col min="2820" max="2820" width="11.75" style="1029" customWidth="1"/>
    <col min="2821" max="2821" width="11" style="1029" customWidth="1"/>
    <col min="2822" max="2822" width="12.25" style="1029" customWidth="1"/>
    <col min="2823" max="2823" width="13.625" style="1029" customWidth="1"/>
    <col min="2824" max="2825" width="9.125" style="1029"/>
    <col min="2826" max="2826" width="12.875" style="1029" customWidth="1"/>
    <col min="2827" max="2827" width="9.125" style="1029"/>
    <col min="2828" max="2828" width="11.375" style="1029" bestFit="1" customWidth="1"/>
    <col min="2829" max="3072" width="9.125" style="1029"/>
    <col min="3073" max="3073" width="5" style="1029" customWidth="1"/>
    <col min="3074" max="3074" width="40.125" style="1029" customWidth="1"/>
    <col min="3075" max="3075" width="11.375" style="1029" customWidth="1"/>
    <col min="3076" max="3076" width="11.75" style="1029" customWidth="1"/>
    <col min="3077" max="3077" width="11" style="1029" customWidth="1"/>
    <col min="3078" max="3078" width="12.25" style="1029" customWidth="1"/>
    <col min="3079" max="3079" width="13.625" style="1029" customWidth="1"/>
    <col min="3080" max="3081" width="9.125" style="1029"/>
    <col min="3082" max="3082" width="12.875" style="1029" customWidth="1"/>
    <col min="3083" max="3083" width="9.125" style="1029"/>
    <col min="3084" max="3084" width="11.375" style="1029" bestFit="1" customWidth="1"/>
    <col min="3085" max="3328" width="9.125" style="1029"/>
    <col min="3329" max="3329" width="5" style="1029" customWidth="1"/>
    <col min="3330" max="3330" width="40.125" style="1029" customWidth="1"/>
    <col min="3331" max="3331" width="11.375" style="1029" customWidth="1"/>
    <col min="3332" max="3332" width="11.75" style="1029" customWidth="1"/>
    <col min="3333" max="3333" width="11" style="1029" customWidth="1"/>
    <col min="3334" max="3334" width="12.25" style="1029" customWidth="1"/>
    <col min="3335" max="3335" width="13.625" style="1029" customWidth="1"/>
    <col min="3336" max="3337" width="9.125" style="1029"/>
    <col min="3338" max="3338" width="12.875" style="1029" customWidth="1"/>
    <col min="3339" max="3339" width="9.125" style="1029"/>
    <col min="3340" max="3340" width="11.375" style="1029" bestFit="1" customWidth="1"/>
    <col min="3341" max="3584" width="9.125" style="1029"/>
    <col min="3585" max="3585" width="5" style="1029" customWidth="1"/>
    <col min="3586" max="3586" width="40.125" style="1029" customWidth="1"/>
    <col min="3587" max="3587" width="11.375" style="1029" customWidth="1"/>
    <col min="3588" max="3588" width="11.75" style="1029" customWidth="1"/>
    <col min="3589" max="3589" width="11" style="1029" customWidth="1"/>
    <col min="3590" max="3590" width="12.25" style="1029" customWidth="1"/>
    <col min="3591" max="3591" width="13.625" style="1029" customWidth="1"/>
    <col min="3592" max="3593" width="9.125" style="1029"/>
    <col min="3594" max="3594" width="12.875" style="1029" customWidth="1"/>
    <col min="3595" max="3595" width="9.125" style="1029"/>
    <col min="3596" max="3596" width="11.375" style="1029" bestFit="1" customWidth="1"/>
    <col min="3597" max="3840" width="9.125" style="1029"/>
    <col min="3841" max="3841" width="5" style="1029" customWidth="1"/>
    <col min="3842" max="3842" width="40.125" style="1029" customWidth="1"/>
    <col min="3843" max="3843" width="11.375" style="1029" customWidth="1"/>
    <col min="3844" max="3844" width="11.75" style="1029" customWidth="1"/>
    <col min="3845" max="3845" width="11" style="1029" customWidth="1"/>
    <col min="3846" max="3846" width="12.25" style="1029" customWidth="1"/>
    <col min="3847" max="3847" width="13.625" style="1029" customWidth="1"/>
    <col min="3848" max="3849" width="9.125" style="1029"/>
    <col min="3850" max="3850" width="12.875" style="1029" customWidth="1"/>
    <col min="3851" max="3851" width="9.125" style="1029"/>
    <col min="3852" max="3852" width="11.375" style="1029" bestFit="1" customWidth="1"/>
    <col min="3853" max="4096" width="9.125" style="1029"/>
    <col min="4097" max="4097" width="5" style="1029" customWidth="1"/>
    <col min="4098" max="4098" width="40.125" style="1029" customWidth="1"/>
    <col min="4099" max="4099" width="11.375" style="1029" customWidth="1"/>
    <col min="4100" max="4100" width="11.75" style="1029" customWidth="1"/>
    <col min="4101" max="4101" width="11" style="1029" customWidth="1"/>
    <col min="4102" max="4102" width="12.25" style="1029" customWidth="1"/>
    <col min="4103" max="4103" width="13.625" style="1029" customWidth="1"/>
    <col min="4104" max="4105" width="9.125" style="1029"/>
    <col min="4106" max="4106" width="12.875" style="1029" customWidth="1"/>
    <col min="4107" max="4107" width="9.125" style="1029"/>
    <col min="4108" max="4108" width="11.375" style="1029" bestFit="1" customWidth="1"/>
    <col min="4109" max="4352" width="9.125" style="1029"/>
    <col min="4353" max="4353" width="5" style="1029" customWidth="1"/>
    <col min="4354" max="4354" width="40.125" style="1029" customWidth="1"/>
    <col min="4355" max="4355" width="11.375" style="1029" customWidth="1"/>
    <col min="4356" max="4356" width="11.75" style="1029" customWidth="1"/>
    <col min="4357" max="4357" width="11" style="1029" customWidth="1"/>
    <col min="4358" max="4358" width="12.25" style="1029" customWidth="1"/>
    <col min="4359" max="4359" width="13.625" style="1029" customWidth="1"/>
    <col min="4360" max="4361" width="9.125" style="1029"/>
    <col min="4362" max="4362" width="12.875" style="1029" customWidth="1"/>
    <col min="4363" max="4363" width="9.125" style="1029"/>
    <col min="4364" max="4364" width="11.375" style="1029" bestFit="1" customWidth="1"/>
    <col min="4365" max="4608" width="9.125" style="1029"/>
    <col min="4609" max="4609" width="5" style="1029" customWidth="1"/>
    <col min="4610" max="4610" width="40.125" style="1029" customWidth="1"/>
    <col min="4611" max="4611" width="11.375" style="1029" customWidth="1"/>
    <col min="4612" max="4612" width="11.75" style="1029" customWidth="1"/>
    <col min="4613" max="4613" width="11" style="1029" customWidth="1"/>
    <col min="4614" max="4614" width="12.25" style="1029" customWidth="1"/>
    <col min="4615" max="4615" width="13.625" style="1029" customWidth="1"/>
    <col min="4616" max="4617" width="9.125" style="1029"/>
    <col min="4618" max="4618" width="12.875" style="1029" customWidth="1"/>
    <col min="4619" max="4619" width="9.125" style="1029"/>
    <col min="4620" max="4620" width="11.375" style="1029" bestFit="1" customWidth="1"/>
    <col min="4621" max="4864" width="9.125" style="1029"/>
    <col min="4865" max="4865" width="5" style="1029" customWidth="1"/>
    <col min="4866" max="4866" width="40.125" style="1029" customWidth="1"/>
    <col min="4867" max="4867" width="11.375" style="1029" customWidth="1"/>
    <col min="4868" max="4868" width="11.75" style="1029" customWidth="1"/>
    <col min="4869" max="4869" width="11" style="1029" customWidth="1"/>
    <col min="4870" max="4870" width="12.25" style="1029" customWidth="1"/>
    <col min="4871" max="4871" width="13.625" style="1029" customWidth="1"/>
    <col min="4872" max="4873" width="9.125" style="1029"/>
    <col min="4874" max="4874" width="12.875" style="1029" customWidth="1"/>
    <col min="4875" max="4875" width="9.125" style="1029"/>
    <col min="4876" max="4876" width="11.375" style="1029" bestFit="1" customWidth="1"/>
    <col min="4877" max="5120" width="9.125" style="1029"/>
    <col min="5121" max="5121" width="5" style="1029" customWidth="1"/>
    <col min="5122" max="5122" width="40.125" style="1029" customWidth="1"/>
    <col min="5123" max="5123" width="11.375" style="1029" customWidth="1"/>
    <col min="5124" max="5124" width="11.75" style="1029" customWidth="1"/>
    <col min="5125" max="5125" width="11" style="1029" customWidth="1"/>
    <col min="5126" max="5126" width="12.25" style="1029" customWidth="1"/>
    <col min="5127" max="5127" width="13.625" style="1029" customWidth="1"/>
    <col min="5128" max="5129" width="9.125" style="1029"/>
    <col min="5130" max="5130" width="12.875" style="1029" customWidth="1"/>
    <col min="5131" max="5131" width="9.125" style="1029"/>
    <col min="5132" max="5132" width="11.375" style="1029" bestFit="1" customWidth="1"/>
    <col min="5133" max="5376" width="9.125" style="1029"/>
    <col min="5377" max="5377" width="5" style="1029" customWidth="1"/>
    <col min="5378" max="5378" width="40.125" style="1029" customWidth="1"/>
    <col min="5379" max="5379" width="11.375" style="1029" customWidth="1"/>
    <col min="5380" max="5380" width="11.75" style="1029" customWidth="1"/>
    <col min="5381" max="5381" width="11" style="1029" customWidth="1"/>
    <col min="5382" max="5382" width="12.25" style="1029" customWidth="1"/>
    <col min="5383" max="5383" width="13.625" style="1029" customWidth="1"/>
    <col min="5384" max="5385" width="9.125" style="1029"/>
    <col min="5386" max="5386" width="12.875" style="1029" customWidth="1"/>
    <col min="5387" max="5387" width="9.125" style="1029"/>
    <col min="5388" max="5388" width="11.375" style="1029" bestFit="1" customWidth="1"/>
    <col min="5389" max="5632" width="9.125" style="1029"/>
    <col min="5633" max="5633" width="5" style="1029" customWidth="1"/>
    <col min="5634" max="5634" width="40.125" style="1029" customWidth="1"/>
    <col min="5635" max="5635" width="11.375" style="1029" customWidth="1"/>
    <col min="5636" max="5636" width="11.75" style="1029" customWidth="1"/>
    <col min="5637" max="5637" width="11" style="1029" customWidth="1"/>
    <col min="5638" max="5638" width="12.25" style="1029" customWidth="1"/>
    <col min="5639" max="5639" width="13.625" style="1029" customWidth="1"/>
    <col min="5640" max="5641" width="9.125" style="1029"/>
    <col min="5642" max="5642" width="12.875" style="1029" customWidth="1"/>
    <col min="5643" max="5643" width="9.125" style="1029"/>
    <col min="5644" max="5644" width="11.375" style="1029" bestFit="1" customWidth="1"/>
    <col min="5645" max="5888" width="9.125" style="1029"/>
    <col min="5889" max="5889" width="5" style="1029" customWidth="1"/>
    <col min="5890" max="5890" width="40.125" style="1029" customWidth="1"/>
    <col min="5891" max="5891" width="11.375" style="1029" customWidth="1"/>
    <col min="5892" max="5892" width="11.75" style="1029" customWidth="1"/>
    <col min="5893" max="5893" width="11" style="1029" customWidth="1"/>
    <col min="5894" max="5894" width="12.25" style="1029" customWidth="1"/>
    <col min="5895" max="5895" width="13.625" style="1029" customWidth="1"/>
    <col min="5896" max="5897" width="9.125" style="1029"/>
    <col min="5898" max="5898" width="12.875" style="1029" customWidth="1"/>
    <col min="5899" max="5899" width="9.125" style="1029"/>
    <col min="5900" max="5900" width="11.375" style="1029" bestFit="1" customWidth="1"/>
    <col min="5901" max="6144" width="9.125" style="1029"/>
    <col min="6145" max="6145" width="5" style="1029" customWidth="1"/>
    <col min="6146" max="6146" width="40.125" style="1029" customWidth="1"/>
    <col min="6147" max="6147" width="11.375" style="1029" customWidth="1"/>
    <col min="6148" max="6148" width="11.75" style="1029" customWidth="1"/>
    <col min="6149" max="6149" width="11" style="1029" customWidth="1"/>
    <col min="6150" max="6150" width="12.25" style="1029" customWidth="1"/>
    <col min="6151" max="6151" width="13.625" style="1029" customWidth="1"/>
    <col min="6152" max="6153" width="9.125" style="1029"/>
    <col min="6154" max="6154" width="12.875" style="1029" customWidth="1"/>
    <col min="6155" max="6155" width="9.125" style="1029"/>
    <col min="6156" max="6156" width="11.375" style="1029" bestFit="1" customWidth="1"/>
    <col min="6157" max="6400" width="9.125" style="1029"/>
    <col min="6401" max="6401" width="5" style="1029" customWidth="1"/>
    <col min="6402" max="6402" width="40.125" style="1029" customWidth="1"/>
    <col min="6403" max="6403" width="11.375" style="1029" customWidth="1"/>
    <col min="6404" max="6404" width="11.75" style="1029" customWidth="1"/>
    <col min="6405" max="6405" width="11" style="1029" customWidth="1"/>
    <col min="6406" max="6406" width="12.25" style="1029" customWidth="1"/>
    <col min="6407" max="6407" width="13.625" style="1029" customWidth="1"/>
    <col min="6408" max="6409" width="9.125" style="1029"/>
    <col min="6410" max="6410" width="12.875" style="1029" customWidth="1"/>
    <col min="6411" max="6411" width="9.125" style="1029"/>
    <col min="6412" max="6412" width="11.375" style="1029" bestFit="1" customWidth="1"/>
    <col min="6413" max="6656" width="9.125" style="1029"/>
    <col min="6657" max="6657" width="5" style="1029" customWidth="1"/>
    <col min="6658" max="6658" width="40.125" style="1029" customWidth="1"/>
    <col min="6659" max="6659" width="11.375" style="1029" customWidth="1"/>
    <col min="6660" max="6660" width="11.75" style="1029" customWidth="1"/>
    <col min="6661" max="6661" width="11" style="1029" customWidth="1"/>
    <col min="6662" max="6662" width="12.25" style="1029" customWidth="1"/>
    <col min="6663" max="6663" width="13.625" style="1029" customWidth="1"/>
    <col min="6664" max="6665" width="9.125" style="1029"/>
    <col min="6666" max="6666" width="12.875" style="1029" customWidth="1"/>
    <col min="6667" max="6667" width="9.125" style="1029"/>
    <col min="6668" max="6668" width="11.375" style="1029" bestFit="1" customWidth="1"/>
    <col min="6669" max="6912" width="9.125" style="1029"/>
    <col min="6913" max="6913" width="5" style="1029" customWidth="1"/>
    <col min="6914" max="6914" width="40.125" style="1029" customWidth="1"/>
    <col min="6915" max="6915" width="11.375" style="1029" customWidth="1"/>
    <col min="6916" max="6916" width="11.75" style="1029" customWidth="1"/>
    <col min="6917" max="6917" width="11" style="1029" customWidth="1"/>
    <col min="6918" max="6918" width="12.25" style="1029" customWidth="1"/>
    <col min="6919" max="6919" width="13.625" style="1029" customWidth="1"/>
    <col min="6920" max="6921" width="9.125" style="1029"/>
    <col min="6922" max="6922" width="12.875" style="1029" customWidth="1"/>
    <col min="6923" max="6923" width="9.125" style="1029"/>
    <col min="6924" max="6924" width="11.375" style="1029" bestFit="1" customWidth="1"/>
    <col min="6925" max="7168" width="9.125" style="1029"/>
    <col min="7169" max="7169" width="5" style="1029" customWidth="1"/>
    <col min="7170" max="7170" width="40.125" style="1029" customWidth="1"/>
    <col min="7171" max="7171" width="11.375" style="1029" customWidth="1"/>
    <col min="7172" max="7172" width="11.75" style="1029" customWidth="1"/>
    <col min="7173" max="7173" width="11" style="1029" customWidth="1"/>
    <col min="7174" max="7174" width="12.25" style="1029" customWidth="1"/>
    <col min="7175" max="7175" width="13.625" style="1029" customWidth="1"/>
    <col min="7176" max="7177" width="9.125" style="1029"/>
    <col min="7178" max="7178" width="12.875" style="1029" customWidth="1"/>
    <col min="7179" max="7179" width="9.125" style="1029"/>
    <col min="7180" max="7180" width="11.375" style="1029" bestFit="1" customWidth="1"/>
    <col min="7181" max="7424" width="9.125" style="1029"/>
    <col min="7425" max="7425" width="5" style="1029" customWidth="1"/>
    <col min="7426" max="7426" width="40.125" style="1029" customWidth="1"/>
    <col min="7427" max="7427" width="11.375" style="1029" customWidth="1"/>
    <col min="7428" max="7428" width="11.75" style="1029" customWidth="1"/>
    <col min="7429" max="7429" width="11" style="1029" customWidth="1"/>
    <col min="7430" max="7430" width="12.25" style="1029" customWidth="1"/>
    <col min="7431" max="7431" width="13.625" style="1029" customWidth="1"/>
    <col min="7432" max="7433" width="9.125" style="1029"/>
    <col min="7434" max="7434" width="12.875" style="1029" customWidth="1"/>
    <col min="7435" max="7435" width="9.125" style="1029"/>
    <col min="7436" max="7436" width="11.375" style="1029" bestFit="1" customWidth="1"/>
    <col min="7437" max="7680" width="9.125" style="1029"/>
    <col min="7681" max="7681" width="5" style="1029" customWidth="1"/>
    <col min="7682" max="7682" width="40.125" style="1029" customWidth="1"/>
    <col min="7683" max="7683" width="11.375" style="1029" customWidth="1"/>
    <col min="7684" max="7684" width="11.75" style="1029" customWidth="1"/>
    <col min="7685" max="7685" width="11" style="1029" customWidth="1"/>
    <col min="7686" max="7686" width="12.25" style="1029" customWidth="1"/>
    <col min="7687" max="7687" width="13.625" style="1029" customWidth="1"/>
    <col min="7688" max="7689" width="9.125" style="1029"/>
    <col min="7690" max="7690" width="12.875" style="1029" customWidth="1"/>
    <col min="7691" max="7691" width="9.125" style="1029"/>
    <col min="7692" max="7692" width="11.375" style="1029" bestFit="1" customWidth="1"/>
    <col min="7693" max="7936" width="9.125" style="1029"/>
    <col min="7937" max="7937" width="5" style="1029" customWidth="1"/>
    <col min="7938" max="7938" width="40.125" style="1029" customWidth="1"/>
    <col min="7939" max="7939" width="11.375" style="1029" customWidth="1"/>
    <col min="7940" max="7940" width="11.75" style="1029" customWidth="1"/>
    <col min="7941" max="7941" width="11" style="1029" customWidth="1"/>
    <col min="7942" max="7942" width="12.25" style="1029" customWidth="1"/>
    <col min="7943" max="7943" width="13.625" style="1029" customWidth="1"/>
    <col min="7944" max="7945" width="9.125" style="1029"/>
    <col min="7946" max="7946" width="12.875" style="1029" customWidth="1"/>
    <col min="7947" max="7947" width="9.125" style="1029"/>
    <col min="7948" max="7948" width="11.375" style="1029" bestFit="1" customWidth="1"/>
    <col min="7949" max="8192" width="9.125" style="1029"/>
    <col min="8193" max="8193" width="5" style="1029" customWidth="1"/>
    <col min="8194" max="8194" width="40.125" style="1029" customWidth="1"/>
    <col min="8195" max="8195" width="11.375" style="1029" customWidth="1"/>
    <col min="8196" max="8196" width="11.75" style="1029" customWidth="1"/>
    <col min="8197" max="8197" width="11" style="1029" customWidth="1"/>
    <col min="8198" max="8198" width="12.25" style="1029" customWidth="1"/>
    <col min="8199" max="8199" width="13.625" style="1029" customWidth="1"/>
    <col min="8200" max="8201" width="9.125" style="1029"/>
    <col min="8202" max="8202" width="12.875" style="1029" customWidth="1"/>
    <col min="8203" max="8203" width="9.125" style="1029"/>
    <col min="8204" max="8204" width="11.375" style="1029" bestFit="1" customWidth="1"/>
    <col min="8205" max="8448" width="9.125" style="1029"/>
    <col min="8449" max="8449" width="5" style="1029" customWidth="1"/>
    <col min="8450" max="8450" width="40.125" style="1029" customWidth="1"/>
    <col min="8451" max="8451" width="11.375" style="1029" customWidth="1"/>
    <col min="8452" max="8452" width="11.75" style="1029" customWidth="1"/>
    <col min="8453" max="8453" width="11" style="1029" customWidth="1"/>
    <col min="8454" max="8454" width="12.25" style="1029" customWidth="1"/>
    <col min="8455" max="8455" width="13.625" style="1029" customWidth="1"/>
    <col min="8456" max="8457" width="9.125" style="1029"/>
    <col min="8458" max="8458" width="12.875" style="1029" customWidth="1"/>
    <col min="8459" max="8459" width="9.125" style="1029"/>
    <col min="8460" max="8460" width="11.375" style="1029" bestFit="1" customWidth="1"/>
    <col min="8461" max="8704" width="9.125" style="1029"/>
    <col min="8705" max="8705" width="5" style="1029" customWidth="1"/>
    <col min="8706" max="8706" width="40.125" style="1029" customWidth="1"/>
    <col min="8707" max="8707" width="11.375" style="1029" customWidth="1"/>
    <col min="8708" max="8708" width="11.75" style="1029" customWidth="1"/>
    <col min="8709" max="8709" width="11" style="1029" customWidth="1"/>
    <col min="8710" max="8710" width="12.25" style="1029" customWidth="1"/>
    <col min="8711" max="8711" width="13.625" style="1029" customWidth="1"/>
    <col min="8712" max="8713" width="9.125" style="1029"/>
    <col min="8714" max="8714" width="12.875" style="1029" customWidth="1"/>
    <col min="8715" max="8715" width="9.125" style="1029"/>
    <col min="8716" max="8716" width="11.375" style="1029" bestFit="1" customWidth="1"/>
    <col min="8717" max="8960" width="9.125" style="1029"/>
    <col min="8961" max="8961" width="5" style="1029" customWidth="1"/>
    <col min="8962" max="8962" width="40.125" style="1029" customWidth="1"/>
    <col min="8963" max="8963" width="11.375" style="1029" customWidth="1"/>
    <col min="8964" max="8964" width="11.75" style="1029" customWidth="1"/>
    <col min="8965" max="8965" width="11" style="1029" customWidth="1"/>
    <col min="8966" max="8966" width="12.25" style="1029" customWidth="1"/>
    <col min="8967" max="8967" width="13.625" style="1029" customWidth="1"/>
    <col min="8968" max="8969" width="9.125" style="1029"/>
    <col min="8970" max="8970" width="12.875" style="1029" customWidth="1"/>
    <col min="8971" max="8971" width="9.125" style="1029"/>
    <col min="8972" max="8972" width="11.375" style="1029" bestFit="1" customWidth="1"/>
    <col min="8973" max="9216" width="9.125" style="1029"/>
    <col min="9217" max="9217" width="5" style="1029" customWidth="1"/>
    <col min="9218" max="9218" width="40.125" style="1029" customWidth="1"/>
    <col min="9219" max="9219" width="11.375" style="1029" customWidth="1"/>
    <col min="9220" max="9220" width="11.75" style="1029" customWidth="1"/>
    <col min="9221" max="9221" width="11" style="1029" customWidth="1"/>
    <col min="9222" max="9222" width="12.25" style="1029" customWidth="1"/>
    <col min="9223" max="9223" width="13.625" style="1029" customWidth="1"/>
    <col min="9224" max="9225" width="9.125" style="1029"/>
    <col min="9226" max="9226" width="12.875" style="1029" customWidth="1"/>
    <col min="9227" max="9227" width="9.125" style="1029"/>
    <col min="9228" max="9228" width="11.375" style="1029" bestFit="1" customWidth="1"/>
    <col min="9229" max="9472" width="9.125" style="1029"/>
    <col min="9473" max="9473" width="5" style="1029" customWidth="1"/>
    <col min="9474" max="9474" width="40.125" style="1029" customWidth="1"/>
    <col min="9475" max="9475" width="11.375" style="1029" customWidth="1"/>
    <col min="9476" max="9476" width="11.75" style="1029" customWidth="1"/>
    <col min="9477" max="9477" width="11" style="1029" customWidth="1"/>
    <col min="9478" max="9478" width="12.25" style="1029" customWidth="1"/>
    <col min="9479" max="9479" width="13.625" style="1029" customWidth="1"/>
    <col min="9480" max="9481" width="9.125" style="1029"/>
    <col min="9482" max="9482" width="12.875" style="1029" customWidth="1"/>
    <col min="9483" max="9483" width="9.125" style="1029"/>
    <col min="9484" max="9484" width="11.375" style="1029" bestFit="1" customWidth="1"/>
    <col min="9485" max="9728" width="9.125" style="1029"/>
    <col min="9729" max="9729" width="5" style="1029" customWidth="1"/>
    <col min="9730" max="9730" width="40.125" style="1029" customWidth="1"/>
    <col min="9731" max="9731" width="11.375" style="1029" customWidth="1"/>
    <col min="9732" max="9732" width="11.75" style="1029" customWidth="1"/>
    <col min="9733" max="9733" width="11" style="1029" customWidth="1"/>
    <col min="9734" max="9734" width="12.25" style="1029" customWidth="1"/>
    <col min="9735" max="9735" width="13.625" style="1029" customWidth="1"/>
    <col min="9736" max="9737" width="9.125" style="1029"/>
    <col min="9738" max="9738" width="12.875" style="1029" customWidth="1"/>
    <col min="9739" max="9739" width="9.125" style="1029"/>
    <col min="9740" max="9740" width="11.375" style="1029" bestFit="1" customWidth="1"/>
    <col min="9741" max="9984" width="9.125" style="1029"/>
    <col min="9985" max="9985" width="5" style="1029" customWidth="1"/>
    <col min="9986" max="9986" width="40.125" style="1029" customWidth="1"/>
    <col min="9987" max="9987" width="11.375" style="1029" customWidth="1"/>
    <col min="9988" max="9988" width="11.75" style="1029" customWidth="1"/>
    <col min="9989" max="9989" width="11" style="1029" customWidth="1"/>
    <col min="9990" max="9990" width="12.25" style="1029" customWidth="1"/>
    <col min="9991" max="9991" width="13.625" style="1029" customWidth="1"/>
    <col min="9992" max="9993" width="9.125" style="1029"/>
    <col min="9994" max="9994" width="12.875" style="1029" customWidth="1"/>
    <col min="9995" max="9995" width="9.125" style="1029"/>
    <col min="9996" max="9996" width="11.375" style="1029" bestFit="1" customWidth="1"/>
    <col min="9997" max="10240" width="9.125" style="1029"/>
    <col min="10241" max="10241" width="5" style="1029" customWidth="1"/>
    <col min="10242" max="10242" width="40.125" style="1029" customWidth="1"/>
    <col min="10243" max="10243" width="11.375" style="1029" customWidth="1"/>
    <col min="10244" max="10244" width="11.75" style="1029" customWidth="1"/>
    <col min="10245" max="10245" width="11" style="1029" customWidth="1"/>
    <col min="10246" max="10246" width="12.25" style="1029" customWidth="1"/>
    <col min="10247" max="10247" width="13.625" style="1029" customWidth="1"/>
    <col min="10248" max="10249" width="9.125" style="1029"/>
    <col min="10250" max="10250" width="12.875" style="1029" customWidth="1"/>
    <col min="10251" max="10251" width="9.125" style="1029"/>
    <col min="10252" max="10252" width="11.375" style="1029" bestFit="1" customWidth="1"/>
    <col min="10253" max="10496" width="9.125" style="1029"/>
    <col min="10497" max="10497" width="5" style="1029" customWidth="1"/>
    <col min="10498" max="10498" width="40.125" style="1029" customWidth="1"/>
    <col min="10499" max="10499" width="11.375" style="1029" customWidth="1"/>
    <col min="10500" max="10500" width="11.75" style="1029" customWidth="1"/>
    <col min="10501" max="10501" width="11" style="1029" customWidth="1"/>
    <col min="10502" max="10502" width="12.25" style="1029" customWidth="1"/>
    <col min="10503" max="10503" width="13.625" style="1029" customWidth="1"/>
    <col min="10504" max="10505" width="9.125" style="1029"/>
    <col min="10506" max="10506" width="12.875" style="1029" customWidth="1"/>
    <col min="10507" max="10507" width="9.125" style="1029"/>
    <col min="10508" max="10508" width="11.375" style="1029" bestFit="1" customWidth="1"/>
    <col min="10509" max="10752" width="9.125" style="1029"/>
    <col min="10753" max="10753" width="5" style="1029" customWidth="1"/>
    <col min="10754" max="10754" width="40.125" style="1029" customWidth="1"/>
    <col min="10755" max="10755" width="11.375" style="1029" customWidth="1"/>
    <col min="10756" max="10756" width="11.75" style="1029" customWidth="1"/>
    <col min="10757" max="10757" width="11" style="1029" customWidth="1"/>
    <col min="10758" max="10758" width="12.25" style="1029" customWidth="1"/>
    <col min="10759" max="10759" width="13.625" style="1029" customWidth="1"/>
    <col min="10760" max="10761" width="9.125" style="1029"/>
    <col min="10762" max="10762" width="12.875" style="1029" customWidth="1"/>
    <col min="10763" max="10763" width="9.125" style="1029"/>
    <col min="10764" max="10764" width="11.375" style="1029" bestFit="1" customWidth="1"/>
    <col min="10765" max="11008" width="9.125" style="1029"/>
    <col min="11009" max="11009" width="5" style="1029" customWidth="1"/>
    <col min="11010" max="11010" width="40.125" style="1029" customWidth="1"/>
    <col min="11011" max="11011" width="11.375" style="1029" customWidth="1"/>
    <col min="11012" max="11012" width="11.75" style="1029" customWidth="1"/>
    <col min="11013" max="11013" width="11" style="1029" customWidth="1"/>
    <col min="11014" max="11014" width="12.25" style="1029" customWidth="1"/>
    <col min="11015" max="11015" width="13.625" style="1029" customWidth="1"/>
    <col min="11016" max="11017" width="9.125" style="1029"/>
    <col min="11018" max="11018" width="12.875" style="1029" customWidth="1"/>
    <col min="11019" max="11019" width="9.125" style="1029"/>
    <col min="11020" max="11020" width="11.375" style="1029" bestFit="1" customWidth="1"/>
    <col min="11021" max="11264" width="9.125" style="1029"/>
    <col min="11265" max="11265" width="5" style="1029" customWidth="1"/>
    <col min="11266" max="11266" width="40.125" style="1029" customWidth="1"/>
    <col min="11267" max="11267" width="11.375" style="1029" customWidth="1"/>
    <col min="11268" max="11268" width="11.75" style="1029" customWidth="1"/>
    <col min="11269" max="11269" width="11" style="1029" customWidth="1"/>
    <col min="11270" max="11270" width="12.25" style="1029" customWidth="1"/>
    <col min="11271" max="11271" width="13.625" style="1029" customWidth="1"/>
    <col min="11272" max="11273" width="9.125" style="1029"/>
    <col min="11274" max="11274" width="12.875" style="1029" customWidth="1"/>
    <col min="11275" max="11275" width="9.125" style="1029"/>
    <col min="11276" max="11276" width="11.375" style="1029" bestFit="1" customWidth="1"/>
    <col min="11277" max="11520" width="9.125" style="1029"/>
    <col min="11521" max="11521" width="5" style="1029" customWidth="1"/>
    <col min="11522" max="11522" width="40.125" style="1029" customWidth="1"/>
    <col min="11523" max="11523" width="11.375" style="1029" customWidth="1"/>
    <col min="11524" max="11524" width="11.75" style="1029" customWidth="1"/>
    <col min="11525" max="11525" width="11" style="1029" customWidth="1"/>
    <col min="11526" max="11526" width="12.25" style="1029" customWidth="1"/>
    <col min="11527" max="11527" width="13.625" style="1029" customWidth="1"/>
    <col min="11528" max="11529" width="9.125" style="1029"/>
    <col min="11530" max="11530" width="12.875" style="1029" customWidth="1"/>
    <col min="11531" max="11531" width="9.125" style="1029"/>
    <col min="11532" max="11532" width="11.375" style="1029" bestFit="1" customWidth="1"/>
    <col min="11533" max="11776" width="9.125" style="1029"/>
    <col min="11777" max="11777" width="5" style="1029" customWidth="1"/>
    <col min="11778" max="11778" width="40.125" style="1029" customWidth="1"/>
    <col min="11779" max="11779" width="11.375" style="1029" customWidth="1"/>
    <col min="11780" max="11780" width="11.75" style="1029" customWidth="1"/>
    <col min="11781" max="11781" width="11" style="1029" customWidth="1"/>
    <col min="11782" max="11782" width="12.25" style="1029" customWidth="1"/>
    <col min="11783" max="11783" width="13.625" style="1029" customWidth="1"/>
    <col min="11784" max="11785" width="9.125" style="1029"/>
    <col min="11786" max="11786" width="12.875" style="1029" customWidth="1"/>
    <col min="11787" max="11787" width="9.125" style="1029"/>
    <col min="11788" max="11788" width="11.375" style="1029" bestFit="1" customWidth="1"/>
    <col min="11789" max="12032" width="9.125" style="1029"/>
    <col min="12033" max="12033" width="5" style="1029" customWidth="1"/>
    <col min="12034" max="12034" width="40.125" style="1029" customWidth="1"/>
    <col min="12035" max="12035" width="11.375" style="1029" customWidth="1"/>
    <col min="12036" max="12036" width="11.75" style="1029" customWidth="1"/>
    <col min="12037" max="12037" width="11" style="1029" customWidth="1"/>
    <col min="12038" max="12038" width="12.25" style="1029" customWidth="1"/>
    <col min="12039" max="12039" width="13.625" style="1029" customWidth="1"/>
    <col min="12040" max="12041" width="9.125" style="1029"/>
    <col min="12042" max="12042" width="12.875" style="1029" customWidth="1"/>
    <col min="12043" max="12043" width="9.125" style="1029"/>
    <col min="12044" max="12044" width="11.375" style="1029" bestFit="1" customWidth="1"/>
    <col min="12045" max="12288" width="9.125" style="1029"/>
    <col min="12289" max="12289" width="5" style="1029" customWidth="1"/>
    <col min="12290" max="12290" width="40.125" style="1029" customWidth="1"/>
    <col min="12291" max="12291" width="11.375" style="1029" customWidth="1"/>
    <col min="12292" max="12292" width="11.75" style="1029" customWidth="1"/>
    <col min="12293" max="12293" width="11" style="1029" customWidth="1"/>
    <col min="12294" max="12294" width="12.25" style="1029" customWidth="1"/>
    <col min="12295" max="12295" width="13.625" style="1029" customWidth="1"/>
    <col min="12296" max="12297" width="9.125" style="1029"/>
    <col min="12298" max="12298" width="12.875" style="1029" customWidth="1"/>
    <col min="12299" max="12299" width="9.125" style="1029"/>
    <col min="12300" max="12300" width="11.375" style="1029" bestFit="1" customWidth="1"/>
    <col min="12301" max="12544" width="9.125" style="1029"/>
    <col min="12545" max="12545" width="5" style="1029" customWidth="1"/>
    <col min="12546" max="12546" width="40.125" style="1029" customWidth="1"/>
    <col min="12547" max="12547" width="11.375" style="1029" customWidth="1"/>
    <col min="12548" max="12548" width="11.75" style="1029" customWidth="1"/>
    <col min="12549" max="12549" width="11" style="1029" customWidth="1"/>
    <col min="12550" max="12550" width="12.25" style="1029" customWidth="1"/>
    <col min="12551" max="12551" width="13.625" style="1029" customWidth="1"/>
    <col min="12552" max="12553" width="9.125" style="1029"/>
    <col min="12554" max="12554" width="12.875" style="1029" customWidth="1"/>
    <col min="12555" max="12555" width="9.125" style="1029"/>
    <col min="12556" max="12556" width="11.375" style="1029" bestFit="1" customWidth="1"/>
    <col min="12557" max="12800" width="9.125" style="1029"/>
    <col min="12801" max="12801" width="5" style="1029" customWidth="1"/>
    <col min="12802" max="12802" width="40.125" style="1029" customWidth="1"/>
    <col min="12803" max="12803" width="11.375" style="1029" customWidth="1"/>
    <col min="12804" max="12804" width="11.75" style="1029" customWidth="1"/>
    <col min="12805" max="12805" width="11" style="1029" customWidth="1"/>
    <col min="12806" max="12806" width="12.25" style="1029" customWidth="1"/>
    <col min="12807" max="12807" width="13.625" style="1029" customWidth="1"/>
    <col min="12808" max="12809" width="9.125" style="1029"/>
    <col min="12810" max="12810" width="12.875" style="1029" customWidth="1"/>
    <col min="12811" max="12811" width="9.125" style="1029"/>
    <col min="12812" max="12812" width="11.375" style="1029" bestFit="1" customWidth="1"/>
    <col min="12813" max="13056" width="9.125" style="1029"/>
    <col min="13057" max="13057" width="5" style="1029" customWidth="1"/>
    <col min="13058" max="13058" width="40.125" style="1029" customWidth="1"/>
    <col min="13059" max="13059" width="11.375" style="1029" customWidth="1"/>
    <col min="13060" max="13060" width="11.75" style="1029" customWidth="1"/>
    <col min="13061" max="13061" width="11" style="1029" customWidth="1"/>
    <col min="13062" max="13062" width="12.25" style="1029" customWidth="1"/>
    <col min="13063" max="13063" width="13.625" style="1029" customWidth="1"/>
    <col min="13064" max="13065" width="9.125" style="1029"/>
    <col min="13066" max="13066" width="12.875" style="1029" customWidth="1"/>
    <col min="13067" max="13067" width="9.125" style="1029"/>
    <col min="13068" max="13068" width="11.375" style="1029" bestFit="1" customWidth="1"/>
    <col min="13069" max="13312" width="9.125" style="1029"/>
    <col min="13313" max="13313" width="5" style="1029" customWidth="1"/>
    <col min="13314" max="13314" width="40.125" style="1029" customWidth="1"/>
    <col min="13315" max="13315" width="11.375" style="1029" customWidth="1"/>
    <col min="13316" max="13316" width="11.75" style="1029" customWidth="1"/>
    <col min="13317" max="13317" width="11" style="1029" customWidth="1"/>
    <col min="13318" max="13318" width="12.25" style="1029" customWidth="1"/>
    <col min="13319" max="13319" width="13.625" style="1029" customWidth="1"/>
    <col min="13320" max="13321" width="9.125" style="1029"/>
    <col min="13322" max="13322" width="12.875" style="1029" customWidth="1"/>
    <col min="13323" max="13323" width="9.125" style="1029"/>
    <col min="13324" max="13324" width="11.375" style="1029" bestFit="1" customWidth="1"/>
    <col min="13325" max="13568" width="9.125" style="1029"/>
    <col min="13569" max="13569" width="5" style="1029" customWidth="1"/>
    <col min="13570" max="13570" width="40.125" style="1029" customWidth="1"/>
    <col min="13571" max="13571" width="11.375" style="1029" customWidth="1"/>
    <col min="13572" max="13572" width="11.75" style="1029" customWidth="1"/>
    <col min="13573" max="13573" width="11" style="1029" customWidth="1"/>
    <col min="13574" max="13574" width="12.25" style="1029" customWidth="1"/>
    <col min="13575" max="13575" width="13.625" style="1029" customWidth="1"/>
    <col min="13576" max="13577" width="9.125" style="1029"/>
    <col min="13578" max="13578" width="12.875" style="1029" customWidth="1"/>
    <col min="13579" max="13579" width="9.125" style="1029"/>
    <col min="13580" max="13580" width="11.375" style="1029" bestFit="1" customWidth="1"/>
    <col min="13581" max="13824" width="9.125" style="1029"/>
    <col min="13825" max="13825" width="5" style="1029" customWidth="1"/>
    <col min="13826" max="13826" width="40.125" style="1029" customWidth="1"/>
    <col min="13827" max="13827" width="11.375" style="1029" customWidth="1"/>
    <col min="13828" max="13828" width="11.75" style="1029" customWidth="1"/>
    <col min="13829" max="13829" width="11" style="1029" customWidth="1"/>
    <col min="13830" max="13830" width="12.25" style="1029" customWidth="1"/>
    <col min="13831" max="13831" width="13.625" style="1029" customWidth="1"/>
    <col min="13832" max="13833" width="9.125" style="1029"/>
    <col min="13834" max="13834" width="12.875" style="1029" customWidth="1"/>
    <col min="13835" max="13835" width="9.125" style="1029"/>
    <col min="13836" max="13836" width="11.375" style="1029" bestFit="1" customWidth="1"/>
    <col min="13837" max="14080" width="9.125" style="1029"/>
    <col min="14081" max="14081" width="5" style="1029" customWidth="1"/>
    <col min="14082" max="14082" width="40.125" style="1029" customWidth="1"/>
    <col min="14083" max="14083" width="11.375" style="1029" customWidth="1"/>
    <col min="14084" max="14084" width="11.75" style="1029" customWidth="1"/>
    <col min="14085" max="14085" width="11" style="1029" customWidth="1"/>
    <col min="14086" max="14086" width="12.25" style="1029" customWidth="1"/>
    <col min="14087" max="14087" width="13.625" style="1029" customWidth="1"/>
    <col min="14088" max="14089" width="9.125" style="1029"/>
    <col min="14090" max="14090" width="12.875" style="1029" customWidth="1"/>
    <col min="14091" max="14091" width="9.125" style="1029"/>
    <col min="14092" max="14092" width="11.375" style="1029" bestFit="1" customWidth="1"/>
    <col min="14093" max="14336" width="9.125" style="1029"/>
    <col min="14337" max="14337" width="5" style="1029" customWidth="1"/>
    <col min="14338" max="14338" width="40.125" style="1029" customWidth="1"/>
    <col min="14339" max="14339" width="11.375" style="1029" customWidth="1"/>
    <col min="14340" max="14340" width="11.75" style="1029" customWidth="1"/>
    <col min="14341" max="14341" width="11" style="1029" customWidth="1"/>
    <col min="14342" max="14342" width="12.25" style="1029" customWidth="1"/>
    <col min="14343" max="14343" width="13.625" style="1029" customWidth="1"/>
    <col min="14344" max="14345" width="9.125" style="1029"/>
    <col min="14346" max="14346" width="12.875" style="1029" customWidth="1"/>
    <col min="14347" max="14347" width="9.125" style="1029"/>
    <col min="14348" max="14348" width="11.375" style="1029" bestFit="1" customWidth="1"/>
    <col min="14349" max="14592" width="9.125" style="1029"/>
    <col min="14593" max="14593" width="5" style="1029" customWidth="1"/>
    <col min="14594" max="14594" width="40.125" style="1029" customWidth="1"/>
    <col min="14595" max="14595" width="11.375" style="1029" customWidth="1"/>
    <col min="14596" max="14596" width="11.75" style="1029" customWidth="1"/>
    <col min="14597" max="14597" width="11" style="1029" customWidth="1"/>
    <col min="14598" max="14598" width="12.25" style="1029" customWidth="1"/>
    <col min="14599" max="14599" width="13.625" style="1029" customWidth="1"/>
    <col min="14600" max="14601" width="9.125" style="1029"/>
    <col min="14602" max="14602" width="12.875" style="1029" customWidth="1"/>
    <col min="14603" max="14603" width="9.125" style="1029"/>
    <col min="14604" max="14604" width="11.375" style="1029" bestFit="1" customWidth="1"/>
    <col min="14605" max="14848" width="9.125" style="1029"/>
    <col min="14849" max="14849" width="5" style="1029" customWidth="1"/>
    <col min="14850" max="14850" width="40.125" style="1029" customWidth="1"/>
    <col min="14851" max="14851" width="11.375" style="1029" customWidth="1"/>
    <col min="14852" max="14852" width="11.75" style="1029" customWidth="1"/>
    <col min="14853" max="14853" width="11" style="1029" customWidth="1"/>
    <col min="14854" max="14854" width="12.25" style="1029" customWidth="1"/>
    <col min="14855" max="14855" width="13.625" style="1029" customWidth="1"/>
    <col min="14856" max="14857" width="9.125" style="1029"/>
    <col min="14858" max="14858" width="12.875" style="1029" customWidth="1"/>
    <col min="14859" max="14859" width="9.125" style="1029"/>
    <col min="14860" max="14860" width="11.375" style="1029" bestFit="1" customWidth="1"/>
    <col min="14861" max="15104" width="9.125" style="1029"/>
    <col min="15105" max="15105" width="5" style="1029" customWidth="1"/>
    <col min="15106" max="15106" width="40.125" style="1029" customWidth="1"/>
    <col min="15107" max="15107" width="11.375" style="1029" customWidth="1"/>
    <col min="15108" max="15108" width="11.75" style="1029" customWidth="1"/>
    <col min="15109" max="15109" width="11" style="1029" customWidth="1"/>
    <col min="15110" max="15110" width="12.25" style="1029" customWidth="1"/>
    <col min="15111" max="15111" width="13.625" style="1029" customWidth="1"/>
    <col min="15112" max="15113" width="9.125" style="1029"/>
    <col min="15114" max="15114" width="12.875" style="1029" customWidth="1"/>
    <col min="15115" max="15115" width="9.125" style="1029"/>
    <col min="15116" max="15116" width="11.375" style="1029" bestFit="1" customWidth="1"/>
    <col min="15117" max="15360" width="9.125" style="1029"/>
    <col min="15361" max="15361" width="5" style="1029" customWidth="1"/>
    <col min="15362" max="15362" width="40.125" style="1029" customWidth="1"/>
    <col min="15363" max="15363" width="11.375" style="1029" customWidth="1"/>
    <col min="15364" max="15364" width="11.75" style="1029" customWidth="1"/>
    <col min="15365" max="15365" width="11" style="1029" customWidth="1"/>
    <col min="15366" max="15366" width="12.25" style="1029" customWidth="1"/>
    <col min="15367" max="15367" width="13.625" style="1029" customWidth="1"/>
    <col min="15368" max="15369" width="9.125" style="1029"/>
    <col min="15370" max="15370" width="12.875" style="1029" customWidth="1"/>
    <col min="15371" max="15371" width="9.125" style="1029"/>
    <col min="15372" max="15372" width="11.375" style="1029" bestFit="1" customWidth="1"/>
    <col min="15373" max="15616" width="9.125" style="1029"/>
    <col min="15617" max="15617" width="5" style="1029" customWidth="1"/>
    <col min="15618" max="15618" width="40.125" style="1029" customWidth="1"/>
    <col min="15619" max="15619" width="11.375" style="1029" customWidth="1"/>
    <col min="15620" max="15620" width="11.75" style="1029" customWidth="1"/>
    <col min="15621" max="15621" width="11" style="1029" customWidth="1"/>
    <col min="15622" max="15622" width="12.25" style="1029" customWidth="1"/>
    <col min="15623" max="15623" width="13.625" style="1029" customWidth="1"/>
    <col min="15624" max="15625" width="9.125" style="1029"/>
    <col min="15626" max="15626" width="12.875" style="1029" customWidth="1"/>
    <col min="15627" max="15627" width="9.125" style="1029"/>
    <col min="15628" max="15628" width="11.375" style="1029" bestFit="1" customWidth="1"/>
    <col min="15629" max="15872" width="9.125" style="1029"/>
    <col min="15873" max="15873" width="5" style="1029" customWidth="1"/>
    <col min="15874" max="15874" width="40.125" style="1029" customWidth="1"/>
    <col min="15875" max="15875" width="11.375" style="1029" customWidth="1"/>
    <col min="15876" max="15876" width="11.75" style="1029" customWidth="1"/>
    <col min="15877" max="15877" width="11" style="1029" customWidth="1"/>
    <col min="15878" max="15878" width="12.25" style="1029" customWidth="1"/>
    <col min="15879" max="15879" width="13.625" style="1029" customWidth="1"/>
    <col min="15880" max="15881" width="9.125" style="1029"/>
    <col min="15882" max="15882" width="12.875" style="1029" customWidth="1"/>
    <col min="15883" max="15883" width="9.125" style="1029"/>
    <col min="15884" max="15884" width="11.375" style="1029" bestFit="1" customWidth="1"/>
    <col min="15885" max="16128" width="9.125" style="1029"/>
    <col min="16129" max="16129" width="5" style="1029" customWidth="1"/>
    <col min="16130" max="16130" width="40.125" style="1029" customWidth="1"/>
    <col min="16131" max="16131" width="11.375" style="1029" customWidth="1"/>
    <col min="16132" max="16132" width="11.75" style="1029" customWidth="1"/>
    <col min="16133" max="16133" width="11" style="1029" customWidth="1"/>
    <col min="16134" max="16134" width="12.25" style="1029" customWidth="1"/>
    <col min="16135" max="16135" width="13.625" style="1029" customWidth="1"/>
    <col min="16136" max="16137" width="9.125" style="1029"/>
    <col min="16138" max="16138" width="12.875" style="1029" customWidth="1"/>
    <col min="16139" max="16139" width="9.125" style="1029"/>
    <col min="16140" max="16140" width="11.375" style="1029" bestFit="1" customWidth="1"/>
    <col min="16141" max="16384" width="9.125" style="1029"/>
  </cols>
  <sheetData>
    <row r="1" spans="1:10" ht="22.5" customHeight="1">
      <c r="A1" s="1400" t="s">
        <v>1599</v>
      </c>
      <c r="B1" s="1400"/>
      <c r="C1" s="1400"/>
      <c r="D1" s="1400"/>
      <c r="E1" s="1400"/>
      <c r="F1" s="1400"/>
      <c r="G1" s="1400"/>
    </row>
    <row r="2" spans="1:10" ht="27" customHeight="1">
      <c r="A2" s="1401" t="s">
        <v>1600</v>
      </c>
      <c r="B2" s="1400"/>
      <c r="C2" s="1400"/>
      <c r="D2" s="1400"/>
      <c r="E2" s="1400"/>
      <c r="F2" s="1400"/>
      <c r="G2" s="1400"/>
    </row>
    <row r="3" spans="1:10" ht="18.75" customHeight="1">
      <c r="A3" s="1400" t="s">
        <v>1601</v>
      </c>
      <c r="B3" s="1400"/>
      <c r="C3" s="1400"/>
      <c r="D3" s="1400"/>
      <c r="E3" s="1400"/>
      <c r="F3" s="1400"/>
      <c r="G3" s="1400"/>
    </row>
    <row r="4" spans="1:10" ht="19.5" thickBot="1">
      <c r="A4" s="1030"/>
      <c r="B4" s="1031" t="s">
        <v>6</v>
      </c>
      <c r="C4" s="1032"/>
      <c r="D4" s="1033"/>
      <c r="E4" s="1032"/>
      <c r="F4" s="1031"/>
      <c r="G4" s="1034"/>
    </row>
    <row r="5" spans="1:10">
      <c r="A5" s="1035">
        <v>1</v>
      </c>
      <c r="B5" s="1036" t="s">
        <v>1602</v>
      </c>
      <c r="C5" s="1035"/>
      <c r="D5" s="1037"/>
      <c r="E5" s="1035"/>
      <c r="F5" s="1036"/>
      <c r="G5" s="1037"/>
    </row>
    <row r="6" spans="1:10">
      <c r="A6" s="1038"/>
      <c r="B6" s="1039"/>
      <c r="C6" s="1040" t="s">
        <v>1603</v>
      </c>
      <c r="D6" s="1040" t="s">
        <v>130</v>
      </c>
      <c r="E6" s="1041" t="s">
        <v>131</v>
      </c>
      <c r="F6" s="1041"/>
      <c r="G6" s="1042" t="s">
        <v>132</v>
      </c>
    </row>
    <row r="7" spans="1:10" ht="19.5" customHeight="1">
      <c r="A7" s="1043">
        <v>1.1000000000000001</v>
      </c>
      <c r="B7" s="1044" t="s">
        <v>1822</v>
      </c>
      <c r="C7" s="1045">
        <v>1</v>
      </c>
      <c r="D7" s="1046">
        <v>82000</v>
      </c>
      <c r="E7" s="1045">
        <v>9</v>
      </c>
      <c r="F7" s="1044" t="s">
        <v>1604</v>
      </c>
      <c r="G7" s="1047">
        <f>C7*D7*E7</f>
        <v>738000</v>
      </c>
    </row>
    <row r="8" spans="1:10">
      <c r="A8" s="1043">
        <v>1.2</v>
      </c>
      <c r="B8" s="1048" t="s">
        <v>1823</v>
      </c>
      <c r="C8" s="1049">
        <v>2</v>
      </c>
      <c r="D8" s="1046">
        <v>70000</v>
      </c>
      <c r="E8" s="1045">
        <v>7</v>
      </c>
      <c r="F8" s="1044" t="s">
        <v>1604</v>
      </c>
      <c r="G8" s="1047">
        <f>C8*D8*E8</f>
        <v>980000</v>
      </c>
    </row>
    <row r="9" spans="1:10" ht="20.25" customHeight="1">
      <c r="A9" s="1043">
        <v>1.3</v>
      </c>
      <c r="B9" s="1048" t="s">
        <v>1824</v>
      </c>
      <c r="C9" s="1049">
        <v>1</v>
      </c>
      <c r="D9" s="1046">
        <v>65000</v>
      </c>
      <c r="E9" s="1045">
        <v>7</v>
      </c>
      <c r="F9" s="1044" t="s">
        <v>1604</v>
      </c>
      <c r="G9" s="1047">
        <f>C9*D9*E9</f>
        <v>455000</v>
      </c>
    </row>
    <row r="10" spans="1:10" ht="20.25" customHeight="1">
      <c r="A10" s="1043">
        <v>1.4</v>
      </c>
      <c r="B10" s="1048" t="s">
        <v>1825</v>
      </c>
      <c r="C10" s="1049">
        <v>3</v>
      </c>
      <c r="D10" s="1046">
        <v>24000</v>
      </c>
      <c r="E10" s="1045">
        <v>9</v>
      </c>
      <c r="F10" s="1044" t="s">
        <v>1604</v>
      </c>
      <c r="G10" s="1047">
        <f>C10*D10*E10</f>
        <v>648000</v>
      </c>
      <c r="J10" s="1315"/>
    </row>
    <row r="11" spans="1:10" ht="19.5" thickBot="1">
      <c r="B11" s="1048"/>
      <c r="F11" s="1039" t="s">
        <v>1</v>
      </c>
      <c r="G11" s="1050">
        <f>SUM(G7:G10)</f>
        <v>2821000</v>
      </c>
    </row>
    <row r="12" spans="1:10">
      <c r="F12" s="1039"/>
      <c r="G12" s="1051"/>
    </row>
    <row r="13" spans="1:10" s="1044" customFormat="1" ht="22.5" customHeight="1">
      <c r="A13" s="1052">
        <v>2</v>
      </c>
      <c r="B13" s="1399" t="s">
        <v>1923</v>
      </c>
      <c r="C13" s="1399"/>
      <c r="D13" s="1399"/>
      <c r="E13" s="1399"/>
      <c r="F13" s="1399"/>
      <c r="G13" s="1399"/>
    </row>
    <row r="14" spans="1:10" s="1044" customFormat="1" ht="19.5" customHeight="1">
      <c r="A14" s="1043"/>
      <c r="B14" s="1029"/>
      <c r="C14" s="1040"/>
      <c r="D14" s="1042" t="s">
        <v>143</v>
      </c>
      <c r="E14" s="1053" t="s">
        <v>79</v>
      </c>
      <c r="F14" s="1041"/>
      <c r="G14" s="1042" t="s">
        <v>132</v>
      </c>
    </row>
    <row r="15" spans="1:10" s="1044" customFormat="1" ht="19.5" customHeight="1">
      <c r="A15" s="1043">
        <v>2.1</v>
      </c>
      <c r="B15" s="1029" t="s">
        <v>1605</v>
      </c>
      <c r="C15" s="1054"/>
      <c r="D15" s="1055"/>
      <c r="E15" s="1043"/>
      <c r="F15" s="1043"/>
      <c r="G15" s="1056"/>
    </row>
    <row r="16" spans="1:10" s="1044" customFormat="1" ht="19.5" customHeight="1">
      <c r="A16" s="1043"/>
      <c r="B16" s="1029" t="s">
        <v>1606</v>
      </c>
      <c r="C16" s="1049"/>
      <c r="D16" s="1055">
        <v>1200</v>
      </c>
      <c r="E16" s="1043">
        <v>6</v>
      </c>
      <c r="F16" s="1043" t="s">
        <v>146</v>
      </c>
      <c r="G16" s="1056">
        <f>E16*D16*10</f>
        <v>72000</v>
      </c>
    </row>
    <row r="17" spans="1:8" s="1044" customFormat="1" ht="19.5" customHeight="1">
      <c r="A17" s="1043"/>
      <c r="B17" s="1029" t="s">
        <v>1607</v>
      </c>
      <c r="C17" s="1049"/>
      <c r="D17" s="1055">
        <v>2000</v>
      </c>
      <c r="E17" s="1043">
        <v>6</v>
      </c>
      <c r="F17" s="1043" t="s">
        <v>146</v>
      </c>
      <c r="G17" s="1056">
        <f>E17*D17</f>
        <v>12000</v>
      </c>
    </row>
    <row r="18" spans="1:8" s="1044" customFormat="1" ht="19.5" customHeight="1">
      <c r="A18" s="1043"/>
      <c r="B18" s="1029" t="s">
        <v>1608</v>
      </c>
      <c r="C18" s="1049"/>
      <c r="D18" s="1055">
        <v>100</v>
      </c>
      <c r="E18" s="1043">
        <v>60</v>
      </c>
      <c r="F18" s="1043" t="s">
        <v>148</v>
      </c>
      <c r="G18" s="1056">
        <f>E18*D18</f>
        <v>6000</v>
      </c>
    </row>
    <row r="19" spans="1:8" s="1044" customFormat="1" ht="19.5" customHeight="1">
      <c r="A19" s="1043"/>
      <c r="B19" s="1029"/>
      <c r="C19" s="1054"/>
      <c r="D19" s="1055"/>
      <c r="E19" s="1043"/>
      <c r="F19" s="1043"/>
      <c r="G19" s="1056"/>
    </row>
    <row r="20" spans="1:8" s="1044" customFormat="1" ht="19.5" customHeight="1">
      <c r="A20" s="1045">
        <v>2.2000000000000002</v>
      </c>
      <c r="B20" s="1029" t="s">
        <v>1609</v>
      </c>
      <c r="C20" s="1043"/>
      <c r="D20" s="1057">
        <v>500000</v>
      </c>
      <c r="E20" s="1045">
        <v>1</v>
      </c>
      <c r="F20" s="1045" t="s">
        <v>1610</v>
      </c>
      <c r="G20" s="1056">
        <f>E20*D20</f>
        <v>500000</v>
      </c>
    </row>
    <row r="21" spans="1:8" s="1044" customFormat="1" ht="19.5" customHeight="1">
      <c r="A21" s="1045"/>
      <c r="B21" s="1029" t="s">
        <v>1611</v>
      </c>
      <c r="C21" s="1043"/>
      <c r="D21" s="1057"/>
      <c r="E21" s="1045"/>
      <c r="F21" s="1045"/>
      <c r="G21" s="1056"/>
    </row>
    <row r="22" spans="1:8" s="1044" customFormat="1" ht="19.5" customHeight="1">
      <c r="A22" s="1045">
        <v>2.2999999999999998</v>
      </c>
      <c r="B22" s="1029" t="s">
        <v>1612</v>
      </c>
      <c r="C22" s="1043"/>
      <c r="D22" s="1057">
        <v>460000</v>
      </c>
      <c r="E22" s="1045">
        <v>1</v>
      </c>
      <c r="F22" s="1045" t="s">
        <v>1610</v>
      </c>
      <c r="G22" s="1056">
        <f>E22*D22</f>
        <v>460000</v>
      </c>
    </row>
    <row r="23" spans="1:8" s="1044" customFormat="1" ht="19.5" customHeight="1">
      <c r="A23" s="1045"/>
      <c r="B23" s="1029" t="s">
        <v>1613</v>
      </c>
      <c r="C23" s="1043"/>
      <c r="D23" s="1057"/>
      <c r="E23" s="1045"/>
      <c r="F23" s="1045"/>
      <c r="G23" s="1056"/>
    </row>
    <row r="24" spans="1:8" s="1044" customFormat="1" ht="19.5" customHeight="1">
      <c r="A24" s="1045"/>
      <c r="B24" s="1029" t="s">
        <v>1614</v>
      </c>
      <c r="C24" s="1043"/>
      <c r="D24" s="1057"/>
      <c r="E24" s="1045"/>
      <c r="F24" s="1045"/>
      <c r="G24" s="1056"/>
    </row>
    <row r="25" spans="1:8" s="1044" customFormat="1" ht="19.5" customHeight="1">
      <c r="A25" s="1045">
        <v>2.4</v>
      </c>
      <c r="B25" s="1044" t="s">
        <v>1615</v>
      </c>
      <c r="C25" s="1045"/>
      <c r="D25" s="1057">
        <v>500</v>
      </c>
      <c r="E25" s="1045">
        <v>500</v>
      </c>
      <c r="F25" s="1045" t="s">
        <v>165</v>
      </c>
      <c r="G25" s="1057">
        <f>D25*E25</f>
        <v>250000</v>
      </c>
    </row>
    <row r="26" spans="1:8" s="1044" customFormat="1" ht="19.5" customHeight="1">
      <c r="A26" s="1045">
        <v>2.5</v>
      </c>
      <c r="B26" s="1044" t="s">
        <v>1616</v>
      </c>
      <c r="C26" s="1045"/>
      <c r="D26" s="1057"/>
      <c r="E26" s="1045">
        <v>6</v>
      </c>
      <c r="F26" s="1045" t="s">
        <v>146</v>
      </c>
      <c r="G26" s="1057">
        <v>3190</v>
      </c>
    </row>
    <row r="27" spans="1:8" s="1044" customFormat="1" ht="19.5" customHeight="1">
      <c r="A27" s="1043"/>
      <c r="B27" s="1029"/>
      <c r="C27" s="1054"/>
      <c r="D27" s="1055"/>
      <c r="E27" s="1043"/>
      <c r="F27" s="1043"/>
      <c r="G27" s="1056"/>
    </row>
    <row r="28" spans="1:8" ht="19.5" thickBot="1">
      <c r="F28" s="1058" t="s">
        <v>1</v>
      </c>
      <c r="G28" s="1050">
        <f>SUM(G16:G26)</f>
        <v>1303190</v>
      </c>
    </row>
    <row r="29" spans="1:8" s="1044" customFormat="1" ht="19.5" customHeight="1">
      <c r="A29" s="1043"/>
      <c r="B29" s="1029"/>
      <c r="C29" s="1054"/>
      <c r="D29" s="1055"/>
      <c r="E29" s="1043"/>
      <c r="F29" s="1043"/>
      <c r="G29" s="1056"/>
    </row>
    <row r="30" spans="1:8" s="1044" customFormat="1" ht="22.5" customHeight="1">
      <c r="A30" s="1052">
        <v>3</v>
      </c>
      <c r="B30" s="1399" t="s">
        <v>1924</v>
      </c>
      <c r="C30" s="1399"/>
      <c r="D30" s="1399"/>
      <c r="E30" s="1399"/>
      <c r="F30" s="1399"/>
      <c r="G30" s="1399"/>
    </row>
    <row r="31" spans="1:8" s="1062" customFormat="1" ht="21.75" customHeight="1">
      <c r="A31" s="1059"/>
      <c r="B31" s="1059"/>
      <c r="C31" s="1060"/>
      <c r="D31" s="1042" t="s">
        <v>143</v>
      </c>
      <c r="E31" s="1053" t="s">
        <v>79</v>
      </c>
      <c r="F31" s="1059"/>
      <c r="G31" s="1061" t="s">
        <v>132</v>
      </c>
    </row>
    <row r="32" spans="1:8">
      <c r="A32" s="1043">
        <v>3.1</v>
      </c>
      <c r="B32" s="1029" t="s">
        <v>1617</v>
      </c>
      <c r="D32" s="1057">
        <v>2</v>
      </c>
      <c r="E32" s="1045">
        <v>240</v>
      </c>
      <c r="F32" s="1045" t="s">
        <v>148</v>
      </c>
      <c r="G32" s="1056">
        <f>D32*E32</f>
        <v>480</v>
      </c>
      <c r="H32" s="1047"/>
    </row>
    <row r="33" spans="1:8" s="1044" customFormat="1">
      <c r="A33" s="1045">
        <v>3.2</v>
      </c>
      <c r="B33" s="1312" t="s">
        <v>1618</v>
      </c>
      <c r="C33" s="1312"/>
      <c r="D33" s="1063">
        <v>2800</v>
      </c>
      <c r="E33" s="1045">
        <v>10</v>
      </c>
      <c r="F33" s="1045" t="s">
        <v>148</v>
      </c>
      <c r="G33" s="1056">
        <f>D33*E33</f>
        <v>28000</v>
      </c>
      <c r="H33" s="1047"/>
    </row>
    <row r="34" spans="1:8" s="1044" customFormat="1">
      <c r="A34" s="1043">
        <v>3.3</v>
      </c>
      <c r="B34" s="1312" t="s">
        <v>1619</v>
      </c>
      <c r="C34" s="1312"/>
      <c r="D34" s="1063">
        <v>70000</v>
      </c>
      <c r="E34" s="1045">
        <v>2</v>
      </c>
      <c r="F34" s="1045" t="s">
        <v>148</v>
      </c>
      <c r="G34" s="1056">
        <f>E34 *D34</f>
        <v>140000</v>
      </c>
      <c r="H34" s="1047"/>
    </row>
    <row r="35" spans="1:8" s="1044" customFormat="1" ht="21" customHeight="1">
      <c r="A35" s="1045">
        <v>3.4</v>
      </c>
      <c r="B35" s="1402" t="s">
        <v>1620</v>
      </c>
      <c r="C35" s="1402"/>
      <c r="D35" s="1057">
        <v>600</v>
      </c>
      <c r="E35" s="1045">
        <v>240</v>
      </c>
      <c r="F35" s="1045" t="s">
        <v>1621</v>
      </c>
      <c r="G35" s="1057">
        <f t="shared" ref="G35:G42" si="0">D35*E35</f>
        <v>144000</v>
      </c>
    </row>
    <row r="36" spans="1:8" s="1044" customFormat="1" ht="19.5" customHeight="1">
      <c r="A36" s="1043">
        <v>3.5</v>
      </c>
      <c r="B36" s="1029" t="s">
        <v>1622</v>
      </c>
      <c r="C36" s="1043"/>
      <c r="D36" s="1056">
        <f>1200*7*2</f>
        <v>16800</v>
      </c>
      <c r="E36" s="1043">
        <v>2</v>
      </c>
      <c r="F36" s="1043" t="s">
        <v>146</v>
      </c>
      <c r="G36" s="1056">
        <f t="shared" si="0"/>
        <v>33600</v>
      </c>
    </row>
    <row r="37" spans="1:8">
      <c r="A37" s="1043">
        <v>3.6</v>
      </c>
      <c r="B37" s="1029" t="s">
        <v>162</v>
      </c>
      <c r="D37" s="1056">
        <v>200</v>
      </c>
      <c r="E37" s="1043">
        <v>240</v>
      </c>
      <c r="F37" s="1043" t="s">
        <v>148</v>
      </c>
      <c r="G37" s="1056">
        <f t="shared" si="0"/>
        <v>48000</v>
      </c>
    </row>
    <row r="38" spans="1:8">
      <c r="A38" s="1045">
        <v>3.7</v>
      </c>
      <c r="B38" s="1029" t="s">
        <v>1623</v>
      </c>
      <c r="D38" s="1057">
        <v>800</v>
      </c>
      <c r="E38" s="1045">
        <v>240</v>
      </c>
      <c r="F38" s="1045" t="s">
        <v>1621</v>
      </c>
      <c r="G38" s="1056">
        <f t="shared" si="0"/>
        <v>192000</v>
      </c>
    </row>
    <row r="39" spans="1:8">
      <c r="A39" s="1045">
        <v>3.8</v>
      </c>
      <c r="B39" s="1029" t="s">
        <v>1624</v>
      </c>
      <c r="D39" s="1057">
        <v>20000</v>
      </c>
      <c r="E39" s="1045">
        <v>4</v>
      </c>
      <c r="F39" s="1045" t="s">
        <v>86</v>
      </c>
      <c r="G39" s="1056">
        <f t="shared" si="0"/>
        <v>80000</v>
      </c>
    </row>
    <row r="40" spans="1:8">
      <c r="A40" s="1064">
        <v>3.9</v>
      </c>
      <c r="B40" s="1029" t="s">
        <v>1625</v>
      </c>
      <c r="D40" s="1057">
        <v>960</v>
      </c>
      <c r="E40" s="1045">
        <v>3</v>
      </c>
      <c r="F40" s="1045" t="s">
        <v>86</v>
      </c>
      <c r="G40" s="1056">
        <f t="shared" si="0"/>
        <v>2880</v>
      </c>
    </row>
    <row r="41" spans="1:8">
      <c r="A41" s="1064">
        <v>3.1</v>
      </c>
      <c r="B41" s="1029" t="s">
        <v>1626</v>
      </c>
      <c r="D41" s="1057">
        <v>2250</v>
      </c>
      <c r="E41" s="1045">
        <v>3</v>
      </c>
      <c r="F41" s="1045" t="s">
        <v>86</v>
      </c>
      <c r="G41" s="1056">
        <f t="shared" si="0"/>
        <v>6750</v>
      </c>
    </row>
    <row r="42" spans="1:8">
      <c r="A42" s="1045">
        <v>3.11</v>
      </c>
      <c r="B42" s="1029" t="s">
        <v>1627</v>
      </c>
      <c r="D42" s="1057">
        <f>750*4</f>
        <v>3000</v>
      </c>
      <c r="E42" s="1045">
        <v>2</v>
      </c>
      <c r="F42" s="1045" t="s">
        <v>1628</v>
      </c>
      <c r="G42" s="1056">
        <f t="shared" si="0"/>
        <v>6000</v>
      </c>
    </row>
    <row r="43" spans="1:8">
      <c r="A43" s="1045"/>
      <c r="D43" s="1057"/>
      <c r="E43" s="1045"/>
      <c r="F43" s="1045"/>
      <c r="G43" s="1056"/>
    </row>
    <row r="44" spans="1:8">
      <c r="A44" s="1045"/>
      <c r="D44" s="1057"/>
      <c r="E44" s="1045"/>
      <c r="F44" s="1045"/>
      <c r="G44" s="1056"/>
    </row>
    <row r="45" spans="1:8" ht="19.5" thickBot="1">
      <c r="F45" s="1058" t="s">
        <v>1</v>
      </c>
      <c r="G45" s="1050">
        <f>SUM(G32:G42)</f>
        <v>681710</v>
      </c>
    </row>
    <row r="46" spans="1:8" ht="10.5" customHeight="1">
      <c r="F46" s="1039"/>
      <c r="G46" s="1065"/>
    </row>
    <row r="47" spans="1:8" s="1044" customFormat="1" ht="41.25" customHeight="1">
      <c r="A47" s="1052">
        <v>4</v>
      </c>
      <c r="B47" s="1399" t="s">
        <v>1629</v>
      </c>
      <c r="C47" s="1399"/>
      <c r="D47" s="1399"/>
      <c r="E47" s="1399"/>
      <c r="F47" s="1399"/>
      <c r="G47" s="1399"/>
    </row>
    <row r="48" spans="1:8" s="1062" customFormat="1" ht="21.75" customHeight="1">
      <c r="A48" s="1059"/>
      <c r="B48" s="1059"/>
      <c r="C48" s="1060"/>
      <c r="D48" s="1042" t="s">
        <v>143</v>
      </c>
      <c r="E48" s="1053" t="s">
        <v>79</v>
      </c>
      <c r="F48" s="1059"/>
      <c r="G48" s="1061" t="s">
        <v>132</v>
      </c>
    </row>
    <row r="49" spans="1:12" s="1044" customFormat="1" ht="19.5" customHeight="1">
      <c r="A49" s="1066">
        <v>4.0999999999999996</v>
      </c>
      <c r="B49" s="1044" t="s">
        <v>1630</v>
      </c>
      <c r="C49" s="1045"/>
      <c r="D49" s="1057">
        <v>100</v>
      </c>
      <c r="E49" s="1045">
        <v>100</v>
      </c>
      <c r="F49" s="1045" t="s">
        <v>1621</v>
      </c>
      <c r="G49" s="1057">
        <f>D49*E49</f>
        <v>10000</v>
      </c>
    </row>
    <row r="50" spans="1:12">
      <c r="A50" s="1066">
        <v>4.2</v>
      </c>
      <c r="B50" s="1029" t="s">
        <v>1631</v>
      </c>
      <c r="D50" s="1067">
        <v>2250</v>
      </c>
      <c r="E50" s="1068">
        <v>10</v>
      </c>
      <c r="F50" s="1068" t="s">
        <v>1632</v>
      </c>
      <c r="G50" s="1067">
        <f>D50*E50</f>
        <v>22500</v>
      </c>
      <c r="L50" s="1044"/>
    </row>
    <row r="51" spans="1:12">
      <c r="A51" s="1066">
        <v>4.3</v>
      </c>
      <c r="B51" s="1029" t="s">
        <v>1633</v>
      </c>
      <c r="D51" s="1056">
        <v>2000</v>
      </c>
      <c r="E51" s="1068">
        <v>10</v>
      </c>
      <c r="F51" s="1043" t="s">
        <v>1634</v>
      </c>
      <c r="G51" s="1056">
        <f>D51*E51</f>
        <v>20000</v>
      </c>
    </row>
    <row r="52" spans="1:12">
      <c r="A52" s="1066">
        <v>4.4000000000000004</v>
      </c>
      <c r="B52" s="1069" t="s">
        <v>1635</v>
      </c>
      <c r="C52" s="1070"/>
      <c r="D52" s="1057">
        <v>10000</v>
      </c>
      <c r="E52" s="1045">
        <v>10</v>
      </c>
      <c r="F52" s="1045" t="s">
        <v>1634</v>
      </c>
      <c r="G52" s="1057">
        <f>D52*E52</f>
        <v>100000</v>
      </c>
      <c r="J52" s="1316"/>
    </row>
    <row r="53" spans="1:12">
      <c r="A53" s="1045"/>
      <c r="B53" s="1070"/>
      <c r="C53" s="1070"/>
      <c r="D53" s="1070"/>
      <c r="E53" s="1070"/>
      <c r="F53" s="1070"/>
      <c r="G53" s="1070"/>
    </row>
    <row r="54" spans="1:12" ht="19.5" thickBot="1">
      <c r="F54" s="1039" t="s">
        <v>1</v>
      </c>
      <c r="G54" s="1050">
        <f>SUM(G49:G52)</f>
        <v>152500</v>
      </c>
    </row>
    <row r="55" spans="1:12" s="1044" customFormat="1">
      <c r="A55" s="1071"/>
      <c r="B55" s="1072"/>
      <c r="C55" s="1072"/>
      <c r="D55" s="1072"/>
      <c r="E55" s="1072"/>
      <c r="F55" s="1072"/>
      <c r="G55" s="1073"/>
    </row>
    <row r="56" spans="1:12" s="1044" customFormat="1">
      <c r="A56" s="1052">
        <v>5</v>
      </c>
      <c r="B56" s="1074" t="s">
        <v>1636</v>
      </c>
      <c r="C56" s="1052"/>
      <c r="D56" s="1075"/>
      <c r="E56" s="1052"/>
      <c r="F56" s="1074"/>
      <c r="G56" s="1075"/>
    </row>
    <row r="57" spans="1:12">
      <c r="A57" s="1038"/>
      <c r="B57" s="1039"/>
      <c r="C57" s="1038"/>
      <c r="D57" s="1040" t="s">
        <v>143</v>
      </c>
      <c r="E57" s="1041" t="s">
        <v>79</v>
      </c>
      <c r="F57" s="1041"/>
      <c r="G57" s="1040"/>
    </row>
    <row r="58" spans="1:12" s="1044" customFormat="1">
      <c r="A58" s="1045">
        <v>5.0999999999999996</v>
      </c>
      <c r="B58" s="1044" t="s">
        <v>164</v>
      </c>
      <c r="C58" s="1045"/>
      <c r="D58" s="1046">
        <v>350</v>
      </c>
      <c r="E58" s="1045">
        <v>8</v>
      </c>
      <c r="F58" s="1044" t="s">
        <v>165</v>
      </c>
      <c r="G58" s="1046">
        <f t="shared" ref="G58:G63" si="1">D58*E58</f>
        <v>2800</v>
      </c>
    </row>
    <row r="59" spans="1:12" s="1044" customFormat="1">
      <c r="A59" s="1045">
        <v>5.2</v>
      </c>
      <c r="B59" s="1044" t="s">
        <v>1637</v>
      </c>
      <c r="C59" s="1045"/>
      <c r="D59" s="1046">
        <v>500</v>
      </c>
      <c r="E59" s="1045">
        <v>8</v>
      </c>
      <c r="F59" s="1044" t="s">
        <v>165</v>
      </c>
      <c r="G59" s="1046">
        <f t="shared" si="1"/>
        <v>4000</v>
      </c>
    </row>
    <row r="60" spans="1:12" s="1044" customFormat="1">
      <c r="A60" s="1045">
        <v>5.3</v>
      </c>
      <c r="B60" s="1044" t="s">
        <v>1638</v>
      </c>
      <c r="C60" s="1045"/>
      <c r="D60" s="1046">
        <v>600</v>
      </c>
      <c r="E60" s="1045">
        <v>8</v>
      </c>
      <c r="F60" s="1044" t="s">
        <v>165</v>
      </c>
      <c r="G60" s="1046">
        <f t="shared" si="1"/>
        <v>4800</v>
      </c>
    </row>
    <row r="61" spans="1:12" s="1044" customFormat="1">
      <c r="A61" s="1045">
        <v>5.4</v>
      </c>
      <c r="B61" s="1044" t="s">
        <v>168</v>
      </c>
      <c r="C61" s="1045"/>
      <c r="D61" s="1046">
        <v>1000</v>
      </c>
      <c r="E61" s="1045">
        <v>8</v>
      </c>
      <c r="F61" s="1044" t="s">
        <v>165</v>
      </c>
      <c r="G61" s="1046">
        <f t="shared" si="1"/>
        <v>8000</v>
      </c>
    </row>
    <row r="62" spans="1:12">
      <c r="A62" s="1045">
        <v>5.5</v>
      </c>
      <c r="B62" s="1044" t="s">
        <v>169</v>
      </c>
      <c r="C62" s="1045"/>
      <c r="D62" s="1047">
        <v>1500</v>
      </c>
      <c r="E62" s="1045">
        <v>8</v>
      </c>
      <c r="F62" s="1044" t="s">
        <v>165</v>
      </c>
      <c r="G62" s="1046">
        <f t="shared" si="1"/>
        <v>12000</v>
      </c>
    </row>
    <row r="63" spans="1:12">
      <c r="A63" s="1045">
        <v>5.6</v>
      </c>
      <c r="B63" s="1044" t="s">
        <v>1639</v>
      </c>
      <c r="C63" s="1045"/>
      <c r="D63" s="1047">
        <v>500</v>
      </c>
      <c r="E63" s="1045">
        <v>20</v>
      </c>
      <c r="F63" s="1044" t="s">
        <v>165</v>
      </c>
      <c r="G63" s="1046">
        <f t="shared" si="1"/>
        <v>10000</v>
      </c>
    </row>
    <row r="64" spans="1:12" ht="19.5" thickBot="1">
      <c r="F64" s="1039" t="s">
        <v>1</v>
      </c>
      <c r="G64" s="1050">
        <f>SUM(G58:G63)</f>
        <v>41600</v>
      </c>
    </row>
    <row r="65" spans="1:12">
      <c r="F65" s="1039"/>
      <c r="G65" s="1051"/>
    </row>
    <row r="66" spans="1:12" s="1044" customFormat="1" ht="21.75" thickBot="1">
      <c r="A66" s="1045"/>
      <c r="B66" s="1076" t="s">
        <v>1640</v>
      </c>
      <c r="C66" s="1045"/>
      <c r="D66" s="1046"/>
      <c r="E66" s="1045"/>
      <c r="G66" s="1077">
        <f>SUM(G64,G54,G45,G28,G11)</f>
        <v>5000000</v>
      </c>
    </row>
    <row r="67" spans="1:12" s="1044" customFormat="1" ht="19.5" thickTop="1">
      <c r="A67" s="1045"/>
      <c r="B67" s="1044" t="str">
        <f>BAHTTEXT(G66)</f>
        <v>ห้าล้านบาทถ้วน</v>
      </c>
      <c r="C67" s="1045"/>
      <c r="D67" s="1046"/>
      <c r="E67" s="1045"/>
      <c r="G67" s="1046"/>
      <c r="J67" s="1078"/>
      <c r="L67" s="1078"/>
    </row>
    <row r="68" spans="1:12" s="1044" customFormat="1">
      <c r="A68" s="1045"/>
      <c r="C68" s="1045"/>
      <c r="D68" s="1046"/>
      <c r="E68" s="1045"/>
      <c r="G68" s="1046"/>
    </row>
    <row r="69" spans="1:12" s="1044" customFormat="1">
      <c r="A69" s="1045"/>
      <c r="C69" s="1045"/>
      <c r="D69" s="1046"/>
      <c r="E69" s="1045"/>
      <c r="G69" s="1046"/>
    </row>
    <row r="70" spans="1:12" s="1044" customFormat="1">
      <c r="A70" s="1045"/>
      <c r="C70" s="1045"/>
      <c r="D70" s="1046"/>
      <c r="E70" s="1045"/>
      <c r="G70" s="1046"/>
    </row>
    <row r="71" spans="1:12" s="1044" customFormat="1">
      <c r="A71" s="1045"/>
      <c r="C71" s="1045"/>
      <c r="D71" s="1046"/>
      <c r="E71" s="1045"/>
      <c r="G71" s="1046"/>
    </row>
    <row r="72" spans="1:12" s="1044" customFormat="1">
      <c r="A72" s="1045"/>
      <c r="C72" s="1045"/>
      <c r="D72" s="1046"/>
      <c r="E72" s="1045"/>
      <c r="G72" s="1046"/>
    </row>
    <row r="73" spans="1:12" s="1044" customFormat="1">
      <c r="A73" s="1045"/>
      <c r="C73" s="1045"/>
      <c r="D73" s="1046"/>
      <c r="E73" s="1045"/>
      <c r="G73" s="1046"/>
    </row>
    <row r="74" spans="1:12" s="1044" customFormat="1">
      <c r="A74" s="1045"/>
      <c r="C74" s="1045"/>
      <c r="D74" s="1046"/>
      <c r="E74" s="1045"/>
      <c r="G74" s="1046"/>
    </row>
    <row r="75" spans="1:12" s="1044" customFormat="1">
      <c r="A75" s="1045"/>
      <c r="C75" s="1045"/>
      <c r="D75" s="1046"/>
      <c r="E75" s="1045"/>
      <c r="G75" s="1046"/>
    </row>
    <row r="76" spans="1:12" s="1044" customFormat="1">
      <c r="A76" s="1045"/>
      <c r="C76" s="1045"/>
      <c r="D76" s="1046"/>
      <c r="E76" s="1045"/>
      <c r="G76" s="1046"/>
    </row>
    <row r="77" spans="1:12" s="1044" customFormat="1">
      <c r="A77" s="1045"/>
      <c r="C77" s="1045"/>
      <c r="D77" s="1046"/>
      <c r="E77" s="1045"/>
      <c r="G77" s="1046"/>
    </row>
    <row r="78" spans="1:12" s="1044" customFormat="1">
      <c r="A78" s="1045"/>
      <c r="C78" s="1045"/>
      <c r="D78" s="1046"/>
      <c r="E78" s="1045"/>
      <c r="G78" s="1046"/>
    </row>
    <row r="79" spans="1:12" s="1044" customFormat="1">
      <c r="A79" s="1045"/>
      <c r="C79" s="1045"/>
      <c r="D79" s="1046"/>
      <c r="E79" s="1045"/>
      <c r="G79" s="1046"/>
    </row>
    <row r="80" spans="1:12" s="1044" customFormat="1">
      <c r="A80" s="1045"/>
      <c r="C80" s="1045"/>
      <c r="D80" s="1046"/>
      <c r="E80" s="1045"/>
      <c r="G80" s="1046"/>
    </row>
    <row r="81" spans="1:7" s="1044" customFormat="1">
      <c r="A81" s="1045"/>
      <c r="C81" s="1045"/>
      <c r="D81" s="1046"/>
      <c r="E81" s="1045"/>
      <c r="G81" s="1046"/>
    </row>
    <row r="82" spans="1:7" s="1044" customFormat="1">
      <c r="A82" s="1045"/>
      <c r="C82" s="1045"/>
      <c r="D82" s="1046"/>
      <c r="E82" s="1045"/>
      <c r="G82" s="1046"/>
    </row>
    <row r="83" spans="1:7" s="1044" customFormat="1">
      <c r="A83" s="1045"/>
      <c r="C83" s="1045"/>
      <c r="D83" s="1046"/>
      <c r="E83" s="1045"/>
      <c r="G83" s="1046"/>
    </row>
    <row r="84" spans="1:7" s="1044" customFormat="1">
      <c r="A84" s="1045"/>
      <c r="C84" s="1045"/>
      <c r="D84" s="1046"/>
      <c r="E84" s="1045"/>
      <c r="G84" s="1046"/>
    </row>
    <row r="85" spans="1:7" s="1044" customFormat="1">
      <c r="A85" s="1045"/>
      <c r="C85" s="1045"/>
      <c r="D85" s="1046"/>
      <c r="E85" s="1045"/>
      <c r="G85" s="1046"/>
    </row>
    <row r="86" spans="1:7" s="1044" customFormat="1">
      <c r="A86" s="1045"/>
      <c r="C86" s="1045"/>
      <c r="D86" s="1046"/>
      <c r="E86" s="1045"/>
      <c r="G86" s="1046"/>
    </row>
    <row r="87" spans="1:7" s="1044" customFormat="1">
      <c r="A87" s="1045"/>
      <c r="C87" s="1045"/>
      <c r="D87" s="1046"/>
      <c r="E87" s="1045"/>
      <c r="G87" s="1046"/>
    </row>
    <row r="88" spans="1:7" s="1044" customFormat="1">
      <c r="A88" s="1045"/>
      <c r="C88" s="1045"/>
      <c r="D88" s="1046"/>
      <c r="E88" s="1045"/>
      <c r="G88" s="1046"/>
    </row>
    <row r="89" spans="1:7" s="1044" customFormat="1">
      <c r="A89" s="1045"/>
      <c r="C89" s="1045"/>
      <c r="D89" s="1046"/>
      <c r="E89" s="1045"/>
      <c r="G89" s="1046"/>
    </row>
    <row r="90" spans="1:7" s="1044" customFormat="1">
      <c r="A90" s="1045"/>
      <c r="C90" s="1045"/>
      <c r="D90" s="1046"/>
      <c r="E90" s="1045"/>
      <c r="G90" s="1046"/>
    </row>
    <row r="91" spans="1:7" s="1044" customFormat="1">
      <c r="A91" s="1045"/>
      <c r="C91" s="1045"/>
      <c r="D91" s="1046"/>
      <c r="E91" s="1045"/>
      <c r="G91" s="1046"/>
    </row>
    <row r="92" spans="1:7" s="1044" customFormat="1">
      <c r="A92" s="1045"/>
      <c r="C92" s="1045"/>
      <c r="D92" s="1046"/>
      <c r="E92" s="1045"/>
      <c r="G92" s="1046"/>
    </row>
    <row r="93" spans="1:7" s="1044" customFormat="1">
      <c r="A93" s="1045"/>
      <c r="C93" s="1045"/>
      <c r="D93" s="1046"/>
      <c r="E93" s="1045"/>
      <c r="G93" s="1046"/>
    </row>
    <row r="94" spans="1:7" s="1044" customFormat="1">
      <c r="A94" s="1045"/>
      <c r="C94" s="1045"/>
      <c r="D94" s="1046"/>
      <c r="E94" s="1045"/>
      <c r="G94" s="1046"/>
    </row>
    <row r="95" spans="1:7" s="1044" customFormat="1">
      <c r="A95" s="1045"/>
      <c r="C95" s="1045"/>
      <c r="D95" s="1046"/>
      <c r="E95" s="1045"/>
      <c r="G95" s="1046"/>
    </row>
    <row r="96" spans="1:7" s="1044" customFormat="1">
      <c r="A96" s="1045"/>
      <c r="C96" s="1045"/>
      <c r="D96" s="1046"/>
      <c r="E96" s="1045"/>
      <c r="G96" s="1046"/>
    </row>
    <row r="97" spans="1:7" s="1044" customFormat="1">
      <c r="A97" s="1045"/>
      <c r="C97" s="1045"/>
      <c r="D97" s="1046"/>
      <c r="E97" s="1045"/>
      <c r="G97" s="1046"/>
    </row>
    <row r="98" spans="1:7" s="1044" customFormat="1">
      <c r="A98" s="1045"/>
      <c r="C98" s="1045"/>
      <c r="D98" s="1046"/>
      <c r="E98" s="1045"/>
      <c r="G98" s="1046"/>
    </row>
    <row r="99" spans="1:7" s="1044" customFormat="1">
      <c r="A99" s="1045"/>
      <c r="C99" s="1045"/>
      <c r="D99" s="1046"/>
      <c r="E99" s="1045"/>
      <c r="G99" s="1046"/>
    </row>
    <row r="100" spans="1:7" s="1044" customFormat="1">
      <c r="A100" s="1045"/>
      <c r="C100" s="1045"/>
      <c r="D100" s="1046"/>
      <c r="E100" s="1045"/>
      <c r="G100" s="1046"/>
    </row>
    <row r="101" spans="1:7" s="1044" customFormat="1">
      <c r="A101" s="1045"/>
      <c r="C101" s="1045"/>
      <c r="D101" s="1046"/>
      <c r="E101" s="1045"/>
      <c r="G101" s="1046"/>
    </row>
    <row r="102" spans="1:7" s="1044" customFormat="1">
      <c r="A102" s="1045"/>
      <c r="C102" s="1045"/>
      <c r="D102" s="1046"/>
      <c r="E102" s="1045"/>
      <c r="G102" s="1046"/>
    </row>
    <row r="103" spans="1:7" s="1044" customFormat="1">
      <c r="A103" s="1045"/>
      <c r="C103" s="1045"/>
      <c r="D103" s="1046"/>
      <c r="E103" s="1045"/>
      <c r="G103" s="1046"/>
    </row>
  </sheetData>
  <mergeCells count="7">
    <mergeCell ref="B47:G47"/>
    <mergeCell ref="A1:G1"/>
    <mergeCell ref="A2:G2"/>
    <mergeCell ref="A3:G3"/>
    <mergeCell ref="B13:G13"/>
    <mergeCell ref="B30:G30"/>
    <mergeCell ref="B35:C3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118"/>
  <sheetViews>
    <sheetView workbookViewId="0"/>
  </sheetViews>
  <sheetFormatPr defaultColWidth="9.125" defaultRowHeight="21"/>
  <cols>
    <col min="1" max="1" width="5.875" style="905" customWidth="1"/>
    <col min="2" max="2" width="82.125" style="905" customWidth="1"/>
    <col min="3" max="3" width="15.375" style="929" customWidth="1"/>
    <col min="4" max="256" width="9.125" style="905"/>
    <col min="257" max="257" width="5.875" style="905" customWidth="1"/>
    <col min="258" max="258" width="82.125" style="905" customWidth="1"/>
    <col min="259" max="259" width="15.375" style="905" customWidth="1"/>
    <col min="260" max="512" width="9.125" style="905"/>
    <col min="513" max="513" width="5.875" style="905" customWidth="1"/>
    <col min="514" max="514" width="82.125" style="905" customWidth="1"/>
    <col min="515" max="515" width="15.375" style="905" customWidth="1"/>
    <col min="516" max="768" width="9.125" style="905"/>
    <col min="769" max="769" width="5.875" style="905" customWidth="1"/>
    <col min="770" max="770" width="82.125" style="905" customWidth="1"/>
    <col min="771" max="771" width="15.375" style="905" customWidth="1"/>
    <col min="772" max="1024" width="9.125" style="905"/>
    <col min="1025" max="1025" width="5.875" style="905" customWidth="1"/>
    <col min="1026" max="1026" width="82.125" style="905" customWidth="1"/>
    <col min="1027" max="1027" width="15.375" style="905" customWidth="1"/>
    <col min="1028" max="1280" width="9.125" style="905"/>
    <col min="1281" max="1281" width="5.875" style="905" customWidth="1"/>
    <col min="1282" max="1282" width="82.125" style="905" customWidth="1"/>
    <col min="1283" max="1283" width="15.375" style="905" customWidth="1"/>
    <col min="1284" max="1536" width="9.125" style="905"/>
    <col min="1537" max="1537" width="5.875" style="905" customWidth="1"/>
    <col min="1538" max="1538" width="82.125" style="905" customWidth="1"/>
    <col min="1539" max="1539" width="15.375" style="905" customWidth="1"/>
    <col min="1540" max="1792" width="9.125" style="905"/>
    <col min="1793" max="1793" width="5.875" style="905" customWidth="1"/>
    <col min="1794" max="1794" width="82.125" style="905" customWidth="1"/>
    <col min="1795" max="1795" width="15.375" style="905" customWidth="1"/>
    <col min="1796" max="2048" width="9.125" style="905"/>
    <col min="2049" max="2049" width="5.875" style="905" customWidth="1"/>
    <col min="2050" max="2050" width="82.125" style="905" customWidth="1"/>
    <col min="2051" max="2051" width="15.375" style="905" customWidth="1"/>
    <col min="2052" max="2304" width="9.125" style="905"/>
    <col min="2305" max="2305" width="5.875" style="905" customWidth="1"/>
    <col min="2306" max="2306" width="82.125" style="905" customWidth="1"/>
    <col min="2307" max="2307" width="15.375" style="905" customWidth="1"/>
    <col min="2308" max="2560" width="9.125" style="905"/>
    <col min="2561" max="2561" width="5.875" style="905" customWidth="1"/>
    <col min="2562" max="2562" width="82.125" style="905" customWidth="1"/>
    <col min="2563" max="2563" width="15.375" style="905" customWidth="1"/>
    <col min="2564" max="2816" width="9.125" style="905"/>
    <col min="2817" max="2817" width="5.875" style="905" customWidth="1"/>
    <col min="2818" max="2818" width="82.125" style="905" customWidth="1"/>
    <col min="2819" max="2819" width="15.375" style="905" customWidth="1"/>
    <col min="2820" max="3072" width="9.125" style="905"/>
    <col min="3073" max="3073" width="5.875" style="905" customWidth="1"/>
    <col min="3074" max="3074" width="82.125" style="905" customWidth="1"/>
    <col min="3075" max="3075" width="15.375" style="905" customWidth="1"/>
    <col min="3076" max="3328" width="9.125" style="905"/>
    <col min="3329" max="3329" width="5.875" style="905" customWidth="1"/>
    <col min="3330" max="3330" width="82.125" style="905" customWidth="1"/>
    <col min="3331" max="3331" width="15.375" style="905" customWidth="1"/>
    <col min="3332" max="3584" width="9.125" style="905"/>
    <col min="3585" max="3585" width="5.875" style="905" customWidth="1"/>
    <col min="3586" max="3586" width="82.125" style="905" customWidth="1"/>
    <col min="3587" max="3587" width="15.375" style="905" customWidth="1"/>
    <col min="3588" max="3840" width="9.125" style="905"/>
    <col min="3841" max="3841" width="5.875" style="905" customWidth="1"/>
    <col min="3842" max="3842" width="82.125" style="905" customWidth="1"/>
    <col min="3843" max="3843" width="15.375" style="905" customWidth="1"/>
    <col min="3844" max="4096" width="9.125" style="905"/>
    <col min="4097" max="4097" width="5.875" style="905" customWidth="1"/>
    <col min="4098" max="4098" width="82.125" style="905" customWidth="1"/>
    <col min="4099" max="4099" width="15.375" style="905" customWidth="1"/>
    <col min="4100" max="4352" width="9.125" style="905"/>
    <col min="4353" max="4353" width="5.875" style="905" customWidth="1"/>
    <col min="4354" max="4354" width="82.125" style="905" customWidth="1"/>
    <col min="4355" max="4355" width="15.375" style="905" customWidth="1"/>
    <col min="4356" max="4608" width="9.125" style="905"/>
    <col min="4609" max="4609" width="5.875" style="905" customWidth="1"/>
    <col min="4610" max="4610" width="82.125" style="905" customWidth="1"/>
    <col min="4611" max="4611" width="15.375" style="905" customWidth="1"/>
    <col min="4612" max="4864" width="9.125" style="905"/>
    <col min="4865" max="4865" width="5.875" style="905" customWidth="1"/>
    <col min="4866" max="4866" width="82.125" style="905" customWidth="1"/>
    <col min="4867" max="4867" width="15.375" style="905" customWidth="1"/>
    <col min="4868" max="5120" width="9.125" style="905"/>
    <col min="5121" max="5121" width="5.875" style="905" customWidth="1"/>
    <col min="5122" max="5122" width="82.125" style="905" customWidth="1"/>
    <col min="5123" max="5123" width="15.375" style="905" customWidth="1"/>
    <col min="5124" max="5376" width="9.125" style="905"/>
    <col min="5377" max="5377" width="5.875" style="905" customWidth="1"/>
    <col min="5378" max="5378" width="82.125" style="905" customWidth="1"/>
    <col min="5379" max="5379" width="15.375" style="905" customWidth="1"/>
    <col min="5380" max="5632" width="9.125" style="905"/>
    <col min="5633" max="5633" width="5.875" style="905" customWidth="1"/>
    <col min="5634" max="5634" width="82.125" style="905" customWidth="1"/>
    <col min="5635" max="5635" width="15.375" style="905" customWidth="1"/>
    <col min="5636" max="5888" width="9.125" style="905"/>
    <col min="5889" max="5889" width="5.875" style="905" customWidth="1"/>
    <col min="5890" max="5890" width="82.125" style="905" customWidth="1"/>
    <col min="5891" max="5891" width="15.375" style="905" customWidth="1"/>
    <col min="5892" max="6144" width="9.125" style="905"/>
    <col min="6145" max="6145" width="5.875" style="905" customWidth="1"/>
    <col min="6146" max="6146" width="82.125" style="905" customWidth="1"/>
    <col min="6147" max="6147" width="15.375" style="905" customWidth="1"/>
    <col min="6148" max="6400" width="9.125" style="905"/>
    <col min="6401" max="6401" width="5.875" style="905" customWidth="1"/>
    <col min="6402" max="6402" width="82.125" style="905" customWidth="1"/>
    <col min="6403" max="6403" width="15.375" style="905" customWidth="1"/>
    <col min="6404" max="6656" width="9.125" style="905"/>
    <col min="6657" max="6657" width="5.875" style="905" customWidth="1"/>
    <col min="6658" max="6658" width="82.125" style="905" customWidth="1"/>
    <col min="6659" max="6659" width="15.375" style="905" customWidth="1"/>
    <col min="6660" max="6912" width="9.125" style="905"/>
    <col min="6913" max="6913" width="5.875" style="905" customWidth="1"/>
    <col min="6914" max="6914" width="82.125" style="905" customWidth="1"/>
    <col min="6915" max="6915" width="15.375" style="905" customWidth="1"/>
    <col min="6916" max="7168" width="9.125" style="905"/>
    <col min="7169" max="7169" width="5.875" style="905" customWidth="1"/>
    <col min="7170" max="7170" width="82.125" style="905" customWidth="1"/>
    <col min="7171" max="7171" width="15.375" style="905" customWidth="1"/>
    <col min="7172" max="7424" width="9.125" style="905"/>
    <col min="7425" max="7425" width="5.875" style="905" customWidth="1"/>
    <col min="7426" max="7426" width="82.125" style="905" customWidth="1"/>
    <col min="7427" max="7427" width="15.375" style="905" customWidth="1"/>
    <col min="7428" max="7680" width="9.125" style="905"/>
    <col min="7681" max="7681" width="5.875" style="905" customWidth="1"/>
    <col min="7682" max="7682" width="82.125" style="905" customWidth="1"/>
    <col min="7683" max="7683" width="15.375" style="905" customWidth="1"/>
    <col min="7684" max="7936" width="9.125" style="905"/>
    <col min="7937" max="7937" width="5.875" style="905" customWidth="1"/>
    <col min="7938" max="7938" width="82.125" style="905" customWidth="1"/>
    <col min="7939" max="7939" width="15.375" style="905" customWidth="1"/>
    <col min="7940" max="8192" width="9.125" style="905"/>
    <col min="8193" max="8193" width="5.875" style="905" customWidth="1"/>
    <col min="8194" max="8194" width="82.125" style="905" customWidth="1"/>
    <col min="8195" max="8195" width="15.375" style="905" customWidth="1"/>
    <col min="8196" max="8448" width="9.125" style="905"/>
    <col min="8449" max="8449" width="5.875" style="905" customWidth="1"/>
    <col min="8450" max="8450" width="82.125" style="905" customWidth="1"/>
    <col min="8451" max="8451" width="15.375" style="905" customWidth="1"/>
    <col min="8452" max="8704" width="9.125" style="905"/>
    <col min="8705" max="8705" width="5.875" style="905" customWidth="1"/>
    <col min="8706" max="8706" width="82.125" style="905" customWidth="1"/>
    <col min="8707" max="8707" width="15.375" style="905" customWidth="1"/>
    <col min="8708" max="8960" width="9.125" style="905"/>
    <col min="8961" max="8961" width="5.875" style="905" customWidth="1"/>
    <col min="8962" max="8962" width="82.125" style="905" customWidth="1"/>
    <col min="8963" max="8963" width="15.375" style="905" customWidth="1"/>
    <col min="8964" max="9216" width="9.125" style="905"/>
    <col min="9217" max="9217" width="5.875" style="905" customWidth="1"/>
    <col min="9218" max="9218" width="82.125" style="905" customWidth="1"/>
    <col min="9219" max="9219" width="15.375" style="905" customWidth="1"/>
    <col min="9220" max="9472" width="9.125" style="905"/>
    <col min="9473" max="9473" width="5.875" style="905" customWidth="1"/>
    <col min="9474" max="9474" width="82.125" style="905" customWidth="1"/>
    <col min="9475" max="9475" width="15.375" style="905" customWidth="1"/>
    <col min="9476" max="9728" width="9.125" style="905"/>
    <col min="9729" max="9729" width="5.875" style="905" customWidth="1"/>
    <col min="9730" max="9730" width="82.125" style="905" customWidth="1"/>
    <col min="9731" max="9731" width="15.375" style="905" customWidth="1"/>
    <col min="9732" max="9984" width="9.125" style="905"/>
    <col min="9985" max="9985" width="5.875" style="905" customWidth="1"/>
    <col min="9986" max="9986" width="82.125" style="905" customWidth="1"/>
    <col min="9987" max="9987" width="15.375" style="905" customWidth="1"/>
    <col min="9988" max="10240" width="9.125" style="905"/>
    <col min="10241" max="10241" width="5.875" style="905" customWidth="1"/>
    <col min="10242" max="10242" width="82.125" style="905" customWidth="1"/>
    <col min="10243" max="10243" width="15.375" style="905" customWidth="1"/>
    <col min="10244" max="10496" width="9.125" style="905"/>
    <col min="10497" max="10497" width="5.875" style="905" customWidth="1"/>
    <col min="10498" max="10498" width="82.125" style="905" customWidth="1"/>
    <col min="10499" max="10499" width="15.375" style="905" customWidth="1"/>
    <col min="10500" max="10752" width="9.125" style="905"/>
    <col min="10753" max="10753" width="5.875" style="905" customWidth="1"/>
    <col min="10754" max="10754" width="82.125" style="905" customWidth="1"/>
    <col min="10755" max="10755" width="15.375" style="905" customWidth="1"/>
    <col min="10756" max="11008" width="9.125" style="905"/>
    <col min="11009" max="11009" width="5.875" style="905" customWidth="1"/>
    <col min="11010" max="11010" width="82.125" style="905" customWidth="1"/>
    <col min="11011" max="11011" width="15.375" style="905" customWidth="1"/>
    <col min="11012" max="11264" width="9.125" style="905"/>
    <col min="11265" max="11265" width="5.875" style="905" customWidth="1"/>
    <col min="11266" max="11266" width="82.125" style="905" customWidth="1"/>
    <col min="11267" max="11267" width="15.375" style="905" customWidth="1"/>
    <col min="11268" max="11520" width="9.125" style="905"/>
    <col min="11521" max="11521" width="5.875" style="905" customWidth="1"/>
    <col min="11522" max="11522" width="82.125" style="905" customWidth="1"/>
    <col min="11523" max="11523" width="15.375" style="905" customWidth="1"/>
    <col min="11524" max="11776" width="9.125" style="905"/>
    <col min="11777" max="11777" width="5.875" style="905" customWidth="1"/>
    <col min="11778" max="11778" width="82.125" style="905" customWidth="1"/>
    <col min="11779" max="11779" width="15.375" style="905" customWidth="1"/>
    <col min="11780" max="12032" width="9.125" style="905"/>
    <col min="12033" max="12033" width="5.875" style="905" customWidth="1"/>
    <col min="12034" max="12034" width="82.125" style="905" customWidth="1"/>
    <col min="12035" max="12035" width="15.375" style="905" customWidth="1"/>
    <col min="12036" max="12288" width="9.125" style="905"/>
    <col min="12289" max="12289" width="5.875" style="905" customWidth="1"/>
    <col min="12290" max="12290" width="82.125" style="905" customWidth="1"/>
    <col min="12291" max="12291" width="15.375" style="905" customWidth="1"/>
    <col min="12292" max="12544" width="9.125" style="905"/>
    <col min="12545" max="12545" width="5.875" style="905" customWidth="1"/>
    <col min="12546" max="12546" width="82.125" style="905" customWidth="1"/>
    <col min="12547" max="12547" width="15.375" style="905" customWidth="1"/>
    <col min="12548" max="12800" width="9.125" style="905"/>
    <col min="12801" max="12801" width="5.875" style="905" customWidth="1"/>
    <col min="12802" max="12802" width="82.125" style="905" customWidth="1"/>
    <col min="12803" max="12803" width="15.375" style="905" customWidth="1"/>
    <col min="12804" max="13056" width="9.125" style="905"/>
    <col min="13057" max="13057" width="5.875" style="905" customWidth="1"/>
    <col min="13058" max="13058" width="82.125" style="905" customWidth="1"/>
    <col min="13059" max="13059" width="15.375" style="905" customWidth="1"/>
    <col min="13060" max="13312" width="9.125" style="905"/>
    <col min="13313" max="13313" width="5.875" style="905" customWidth="1"/>
    <col min="13314" max="13314" width="82.125" style="905" customWidth="1"/>
    <col min="13315" max="13315" width="15.375" style="905" customWidth="1"/>
    <col min="13316" max="13568" width="9.125" style="905"/>
    <col min="13569" max="13569" width="5.875" style="905" customWidth="1"/>
    <col min="13570" max="13570" width="82.125" style="905" customWidth="1"/>
    <col min="13571" max="13571" width="15.375" style="905" customWidth="1"/>
    <col min="13572" max="13824" width="9.125" style="905"/>
    <col min="13825" max="13825" width="5.875" style="905" customWidth="1"/>
    <col min="13826" max="13826" width="82.125" style="905" customWidth="1"/>
    <col min="13827" max="13827" width="15.375" style="905" customWidth="1"/>
    <col min="13828" max="14080" width="9.125" style="905"/>
    <col min="14081" max="14081" width="5.875" style="905" customWidth="1"/>
    <col min="14082" max="14082" width="82.125" style="905" customWidth="1"/>
    <col min="14083" max="14083" width="15.375" style="905" customWidth="1"/>
    <col min="14084" max="14336" width="9.125" style="905"/>
    <col min="14337" max="14337" width="5.875" style="905" customWidth="1"/>
    <col min="14338" max="14338" width="82.125" style="905" customWidth="1"/>
    <col min="14339" max="14339" width="15.375" style="905" customWidth="1"/>
    <col min="14340" max="14592" width="9.125" style="905"/>
    <col min="14593" max="14593" width="5.875" style="905" customWidth="1"/>
    <col min="14594" max="14594" width="82.125" style="905" customWidth="1"/>
    <col min="14595" max="14595" width="15.375" style="905" customWidth="1"/>
    <col min="14596" max="14848" width="9.125" style="905"/>
    <col min="14849" max="14849" width="5.875" style="905" customWidth="1"/>
    <col min="14850" max="14850" width="82.125" style="905" customWidth="1"/>
    <col min="14851" max="14851" width="15.375" style="905" customWidth="1"/>
    <col min="14852" max="15104" width="9.125" style="905"/>
    <col min="15105" max="15105" width="5.875" style="905" customWidth="1"/>
    <col min="15106" max="15106" width="82.125" style="905" customWidth="1"/>
    <col min="15107" max="15107" width="15.375" style="905" customWidth="1"/>
    <col min="15108" max="15360" width="9.125" style="905"/>
    <col min="15361" max="15361" width="5.875" style="905" customWidth="1"/>
    <col min="15362" max="15362" width="82.125" style="905" customWidth="1"/>
    <col min="15363" max="15363" width="15.375" style="905" customWidth="1"/>
    <col min="15364" max="15616" width="9.125" style="905"/>
    <col min="15617" max="15617" width="5.875" style="905" customWidth="1"/>
    <col min="15618" max="15618" width="82.125" style="905" customWidth="1"/>
    <col min="15619" max="15619" width="15.375" style="905" customWidth="1"/>
    <col min="15620" max="15872" width="9.125" style="905"/>
    <col min="15873" max="15873" width="5.875" style="905" customWidth="1"/>
    <col min="15874" max="15874" width="82.125" style="905" customWidth="1"/>
    <col min="15875" max="15875" width="15.375" style="905" customWidth="1"/>
    <col min="15876" max="16128" width="9.125" style="905"/>
    <col min="16129" max="16129" width="5.875" style="905" customWidth="1"/>
    <col min="16130" max="16130" width="82.125" style="905" customWidth="1"/>
    <col min="16131" max="16131" width="15.375" style="905" customWidth="1"/>
    <col min="16132" max="16384" width="9.125" style="905"/>
  </cols>
  <sheetData>
    <row r="1" spans="1:9">
      <c r="A1" s="902" t="s">
        <v>1105</v>
      </c>
      <c r="B1" s="902"/>
      <c r="C1" s="1313"/>
      <c r="D1" s="904"/>
      <c r="E1" s="904"/>
      <c r="F1" s="904"/>
      <c r="G1" s="904"/>
      <c r="H1" s="904"/>
      <c r="I1" s="904"/>
    </row>
    <row r="2" spans="1:9">
      <c r="A2" s="902" t="str">
        <f>'[2]Safety thailand ok'!A2:G2</f>
        <v xml:space="preserve">โครงการความปลอดภัยและอาชีวอนามัยของประเทศไทย (Safety Thailand) ภาคอุตสาหกรรม </v>
      </c>
      <c r="B2" s="902"/>
      <c r="C2" s="1313"/>
      <c r="D2" s="904"/>
      <c r="E2" s="904"/>
      <c r="F2" s="904"/>
      <c r="G2" s="904"/>
      <c r="H2" s="904"/>
      <c r="I2" s="904"/>
    </row>
    <row r="3" spans="1:9" ht="10.5" customHeight="1">
      <c r="A3" s="904"/>
      <c r="B3" s="904"/>
      <c r="C3" s="1313"/>
      <c r="D3" s="904"/>
      <c r="E3" s="904"/>
      <c r="F3" s="904"/>
      <c r="G3" s="904"/>
      <c r="H3" s="904"/>
      <c r="I3" s="904"/>
    </row>
    <row r="4" spans="1:9">
      <c r="A4" s="906"/>
      <c r="B4" s="907" t="s">
        <v>0</v>
      </c>
      <c r="C4" s="908" t="s">
        <v>1</v>
      </c>
      <c r="D4" s="904"/>
      <c r="E4" s="904"/>
      <c r="F4" s="904"/>
      <c r="G4" s="904"/>
      <c r="H4" s="904"/>
      <c r="I4" s="904"/>
    </row>
    <row r="5" spans="1:9">
      <c r="A5" s="909"/>
      <c r="B5" s="910" t="str">
        <f>A2</f>
        <v xml:space="preserve">โครงการความปลอดภัยและอาชีวอนามัยของประเทศไทย (Safety Thailand) ภาคอุตสาหกรรม </v>
      </c>
      <c r="C5" s="911" t="s">
        <v>2</v>
      </c>
      <c r="D5" s="904"/>
      <c r="E5" s="904"/>
      <c r="F5" s="904"/>
      <c r="G5" s="904"/>
      <c r="H5" s="904"/>
      <c r="I5" s="904"/>
    </row>
    <row r="6" spans="1:9">
      <c r="A6" s="912">
        <v>1</v>
      </c>
      <c r="B6" s="1079" t="s">
        <v>1641</v>
      </c>
      <c r="C6" s="914">
        <f>C7</f>
        <v>1005000</v>
      </c>
    </row>
    <row r="7" spans="1:9">
      <c r="A7" s="915">
        <v>1.1000000000000001</v>
      </c>
      <c r="B7" s="913" t="str">
        <f>'[2]Safety thailand ok'!B6</f>
        <v>บุคลากร</v>
      </c>
      <c r="C7" s="914">
        <f>C8+C9+C10+C11+C12</f>
        <v>1005000</v>
      </c>
    </row>
    <row r="8" spans="1:9" ht="42">
      <c r="A8" s="932"/>
      <c r="B8" s="922" t="s">
        <v>1826</v>
      </c>
      <c r="C8" s="923">
        <f>'[2]Safety thailand ok'!G8</f>
        <v>225000</v>
      </c>
    </row>
    <row r="9" spans="1:9" ht="63">
      <c r="A9" s="932"/>
      <c r="B9" s="922" t="s">
        <v>1827</v>
      </c>
      <c r="C9" s="923">
        <f>'[2]Safety thailand ok'!G9</f>
        <v>210000</v>
      </c>
    </row>
    <row r="10" spans="1:9" ht="42">
      <c r="A10" s="932"/>
      <c r="B10" s="922" t="s">
        <v>1828</v>
      </c>
      <c r="C10" s="923">
        <f>'[2]Safety thailand ok'!G10</f>
        <v>195000</v>
      </c>
    </row>
    <row r="11" spans="1:9" ht="49.5" customHeight="1">
      <c r="A11" s="932"/>
      <c r="B11" s="922" t="s">
        <v>1829</v>
      </c>
      <c r="C11" s="923">
        <f>'[2]Safety thailand ok'!G11</f>
        <v>195000</v>
      </c>
    </row>
    <row r="12" spans="1:9" ht="44.25" customHeight="1">
      <c r="A12" s="1080"/>
      <c r="B12" s="922" t="s">
        <v>1830</v>
      </c>
      <c r="C12" s="923">
        <f>'[2]Safety thailand ok'!G12</f>
        <v>180000</v>
      </c>
    </row>
    <row r="13" spans="1:9">
      <c r="A13" s="912">
        <v>2</v>
      </c>
      <c r="B13" s="1079" t="s">
        <v>1642</v>
      </c>
      <c r="C13" s="914">
        <f>C14+C23+C33+C42+C49+C55+C64+C74</f>
        <v>7564450</v>
      </c>
    </row>
    <row r="14" spans="1:9">
      <c r="A14" s="915">
        <v>2.1</v>
      </c>
      <c r="B14" s="913" t="s">
        <v>1643</v>
      </c>
      <c r="C14" s="914">
        <f>C15+C16+C17+C18+C19+C20+C21+C22</f>
        <v>177590</v>
      </c>
    </row>
    <row r="15" spans="1:9">
      <c r="A15" s="932"/>
      <c r="B15" s="922" t="str">
        <f>'[2]Safety thailand ok'!B23</f>
        <v>ค่าสถานที่และโสตทัศนูปกรณ์</v>
      </c>
      <c r="C15" s="923">
        <f>'[2]Safety thailand ok'!G23</f>
        <v>10000</v>
      </c>
    </row>
    <row r="16" spans="1:9">
      <c r="A16" s="932"/>
      <c r="B16" s="922" t="str">
        <f>'[2]Safety thailand ok'!B24</f>
        <v>ค่าอาหารผู้เข้าร่วมประชุม (อาหารเที่ยง) (200 คน x 1 ครั้ง)</v>
      </c>
      <c r="C16" s="923">
        <f>'[2]Safety thailand ok'!G24</f>
        <v>120000</v>
      </c>
    </row>
    <row r="17" spans="1:3">
      <c r="A17" s="932"/>
      <c r="B17" s="922" t="str">
        <f>'[2]Safety thailand ok'!B25</f>
        <v>ค่าเช่ารถตู้ รวมน้ำมัน (2 วัน  x 1 ครั้ง)</v>
      </c>
      <c r="C17" s="923">
        <f>'[2]Safety thailand ok'!G25</f>
        <v>4500</v>
      </c>
    </row>
    <row r="18" spans="1:3">
      <c r="A18" s="932"/>
      <c r="B18" s="922" t="str">
        <f>'[2]Safety thailand ok'!B26</f>
        <v>ค่าวิทยากร (7 ชม. x 1 ครั้ง)</v>
      </c>
      <c r="C18" s="923">
        <f>'[2]Safety thailand ok'!G26</f>
        <v>8400</v>
      </c>
    </row>
    <row r="19" spans="1:3">
      <c r="A19" s="932"/>
      <c r="B19" s="922" t="str">
        <f>'[2]Safety thailand ok'!B27</f>
        <v>ค่าเบี้ยเลี้ยงเจ้าหน้าที่เตรียมการ (3 คน x 2 วัน  x 1 ครั้ง)</v>
      </c>
      <c r="C19" s="923">
        <f>'[2]Safety thailand ok'!G27</f>
        <v>1440</v>
      </c>
    </row>
    <row r="20" spans="1:3">
      <c r="A20" s="918"/>
      <c r="B20" s="922" t="str">
        <f>'[2]Safety thailand ok'!B28</f>
        <v>ค่าที่พักเจ้าหน้าที่เตรียมการ (3 คน x  1 คืน  x 1 ครั้ง)</v>
      </c>
      <c r="C20" s="923">
        <f>'[2]Safety thailand ok'!G28</f>
        <v>2250</v>
      </c>
    </row>
    <row r="21" spans="1:3">
      <c r="A21" s="932"/>
      <c r="B21" s="922" t="str">
        <f>'[2]Safety thailand ok'!B29</f>
        <v>ค่าเอกสารประกอบการประชุม (200 คน x 1 ชุด  x 1 ครั้ง)</v>
      </c>
      <c r="C21" s="923">
        <f>'[2]Safety thailand ok'!G29</f>
        <v>30000</v>
      </c>
    </row>
    <row r="22" spans="1:3">
      <c r="A22" s="932"/>
      <c r="B22" s="922" t="str">
        <f>'[2]Safety thailand ok'!B30</f>
        <v xml:space="preserve">ค่าใช้จ่ายเบ็ดเตล็ดอื่นๆ เช่น ค่าติดต่อประสานงาน   </v>
      </c>
      <c r="C22" s="923">
        <f>'[2]Safety thailand ok'!G30</f>
        <v>1000</v>
      </c>
    </row>
    <row r="23" spans="1:3" ht="42">
      <c r="A23" s="915">
        <v>2.2000000000000002</v>
      </c>
      <c r="B23" s="913" t="s">
        <v>1644</v>
      </c>
      <c r="C23" s="914">
        <f>C24+C25+C26+C27+C28+C29+C30+C31+C32</f>
        <v>514520</v>
      </c>
    </row>
    <row r="24" spans="1:3">
      <c r="A24" s="932"/>
      <c r="B24" s="922" t="str">
        <f>'[2]Safety thailand ok'!B35</f>
        <v>ค่าสถานที่และโสตทัศนูปกรณ์</v>
      </c>
      <c r="C24" s="923">
        <f>'[2]Safety thailand ok'!G35</f>
        <v>40000</v>
      </c>
    </row>
    <row r="25" spans="1:3">
      <c r="A25" s="932"/>
      <c r="B25" s="922" t="str">
        <f>'[2]Safety thailand ok'!B36</f>
        <v>ค่าอาหารผู้เข้าร่วมอบรม (อาหารเที่ยง) (20 คน x 3 วัน  x 4 ครั้ง)</v>
      </c>
      <c r="C25" s="923">
        <f>'[2]Safety thailand ok'!G36</f>
        <v>144000</v>
      </c>
    </row>
    <row r="26" spans="1:3">
      <c r="A26" s="932"/>
      <c r="B26" s="922" t="str">
        <f>'[2]Safety thailand ok'!B37</f>
        <v>ค่าเช่ารถตู้ รวมน้ำมัน (4 วัน x 4 ครั้ง)</v>
      </c>
      <c r="C26" s="923">
        <f>'[2]Safety thailand ok'!G37</f>
        <v>36000</v>
      </c>
    </row>
    <row r="27" spans="1:3">
      <c r="A27" s="932"/>
      <c r="B27" s="922" t="str">
        <f>'[2]Safety thailand ok'!B38</f>
        <v>ค่าวิทยากร (7 ชม. X 3 วัน x 4 ครั้ง)</v>
      </c>
      <c r="C27" s="923">
        <f>'[2]Safety thailand ok'!G38</f>
        <v>100800</v>
      </c>
    </row>
    <row r="28" spans="1:3">
      <c r="A28" s="932"/>
      <c r="B28" s="922" t="str">
        <f>'[2]Safety thailand ok'!B39</f>
        <v>ค่าเบี้ยเลี้ยงเจ้าหน้าที่เตรียมการ (3 คน x 4 วัน x 4 ครั้ง)</v>
      </c>
      <c r="C28" s="923">
        <f>'[2]Safety thailand ok'!G39</f>
        <v>11520</v>
      </c>
    </row>
    <row r="29" spans="1:3">
      <c r="A29" s="918"/>
      <c r="B29" s="922" t="str">
        <f>'[2]Safety thailand ok'!B40</f>
        <v>ค่าที่พักเจ้าหน้าที่เตรียมการ (3 คน x  3 คืน x 4 ครั้ง)</v>
      </c>
      <c r="C29" s="923">
        <f>'[2]Safety thailand ok'!G40</f>
        <v>27000</v>
      </c>
    </row>
    <row r="30" spans="1:3">
      <c r="A30" s="932"/>
      <c r="B30" s="922" t="str">
        <f>'[2]Safety thailand ok'!B41</f>
        <v>ค่าที่พักผู้เข้าร่วมอบรม (20 คน x  2 คืน x 4 ครั้ง)</v>
      </c>
      <c r="C30" s="923">
        <f>'[2]Safety thailand ok'!G41</f>
        <v>120000</v>
      </c>
    </row>
    <row r="31" spans="1:3">
      <c r="A31" s="932"/>
      <c r="B31" s="922" t="str">
        <f>'[2]Safety thailand ok'!B42</f>
        <v>ค่าเอกสารประกอบการอบรม (20 คน x 1 ชุด x 4 ครั้ง)</v>
      </c>
      <c r="C31" s="923">
        <f>'[2]Safety thailand ok'!G42</f>
        <v>32000</v>
      </c>
    </row>
    <row r="32" spans="1:3">
      <c r="A32" s="1081"/>
      <c r="B32" s="922" t="str">
        <f>'[2]Safety thailand ok'!B43</f>
        <v xml:space="preserve">ค่าใช้จ่ายเบ็ดเตล็ดอื่นๆ เช่น ค่าติดต่อประสานงาน </v>
      </c>
      <c r="C32" s="923">
        <f>'[2]Safety thailand ok'!G43</f>
        <v>3200</v>
      </c>
    </row>
    <row r="33" spans="1:3" ht="42">
      <c r="A33" s="915">
        <v>2.2999999999999998</v>
      </c>
      <c r="B33" s="913" t="s">
        <v>1645</v>
      </c>
      <c r="C33" s="914">
        <f>C34+C35+C36+C37+C38+C39+C40+C41</f>
        <v>152735</v>
      </c>
    </row>
    <row r="34" spans="1:3">
      <c r="A34" s="932"/>
      <c r="B34" s="922" t="str">
        <f>'[2]Safety thailand ok'!B47</f>
        <v>ค่าสถานที่และโสตทัศนูปกรณ์</v>
      </c>
      <c r="C34" s="923">
        <f>'[2]Safety thailand ok'!G47</f>
        <v>15000</v>
      </c>
    </row>
    <row r="35" spans="1:3">
      <c r="A35" s="932"/>
      <c r="B35" s="922" t="str">
        <f>'[2]Safety thailand ok'!B48</f>
        <v>ค่าอาหารผู้เข้าร่วมประชุม (อาหารเที่ยง) (80 โรงงาน x 2 คน)</v>
      </c>
      <c r="C35" s="923">
        <f>'[2]Safety thailand ok'!G48</f>
        <v>96000</v>
      </c>
    </row>
    <row r="36" spans="1:3">
      <c r="A36" s="932"/>
      <c r="B36" s="922" t="str">
        <f>'[2]Safety thailand ok'!B49</f>
        <v>ค่าเช่ารถตู้ รวมน้ำมัน (2 วัน)</v>
      </c>
      <c r="C36" s="923">
        <f>'[2]Safety thailand ok'!G49</f>
        <v>4500</v>
      </c>
    </row>
    <row r="37" spans="1:3">
      <c r="A37" s="932"/>
      <c r="B37" s="922" t="str">
        <f>'[2]Safety thailand ok'!B50</f>
        <v>ค่าวิทยากร (7 ชม.)</v>
      </c>
      <c r="C37" s="923">
        <f>'[2]Safety thailand ok'!G50</f>
        <v>8400</v>
      </c>
    </row>
    <row r="38" spans="1:3">
      <c r="A38" s="932"/>
      <c r="B38" s="922" t="str">
        <f>'[2]Safety thailand ok'!B51</f>
        <v>ค่าเบี้ยเลี้ยงเจ้าหน้าที่เตรียมการ (3 คน x 2 วัน)</v>
      </c>
      <c r="C38" s="923">
        <f>'[2]Safety thailand ok'!G51</f>
        <v>1440</v>
      </c>
    </row>
    <row r="39" spans="1:3">
      <c r="A39" s="932"/>
      <c r="B39" s="922" t="str">
        <f>'[2]Safety thailand ok'!B52</f>
        <v>ค่าที่พักเจ้าหน้าที่เตรียมการ (3 คน x  1 คืน)</v>
      </c>
      <c r="C39" s="923">
        <f>'[2]Safety thailand ok'!G52</f>
        <v>2250</v>
      </c>
    </row>
    <row r="40" spans="1:3">
      <c r="A40" s="932"/>
      <c r="B40" s="922" t="str">
        <f>'[2]Safety thailand ok'!B53</f>
        <v>ค่าเอกสารประกอบการประชุม (160 คน x 1 ชุด)</v>
      </c>
      <c r="C40" s="923">
        <f>'[2]Safety thailand ok'!G53</f>
        <v>24000</v>
      </c>
    </row>
    <row r="41" spans="1:3">
      <c r="A41" s="1080"/>
      <c r="B41" s="922" t="str">
        <f>'[2]Safety thailand ok'!B54</f>
        <v xml:space="preserve">ค่าใช้จ่ายเบ็ดเตล็ดอื่นๆ เช่น ค่าติดต่อประสานงาน </v>
      </c>
      <c r="C41" s="923">
        <f>'[2]Safety thailand ok'!G54</f>
        <v>1145</v>
      </c>
    </row>
    <row r="42" spans="1:3" ht="42">
      <c r="A42" s="915">
        <v>2.4</v>
      </c>
      <c r="B42" s="913" t="s">
        <v>1646</v>
      </c>
      <c r="C42" s="914">
        <f>C43+C44+C45+C46+C47+C48</f>
        <v>3956800</v>
      </c>
    </row>
    <row r="43" spans="1:3" ht="63">
      <c r="A43" s="932"/>
      <c r="B43" s="922" t="s">
        <v>1831</v>
      </c>
      <c r="C43" s="923">
        <f>'[2]Safety thailand ok'!G16</f>
        <v>2688000</v>
      </c>
    </row>
    <row r="44" spans="1:3">
      <c r="A44" s="932"/>
      <c r="B44" s="922" t="str">
        <f>'[2]Safety thailand ok'!B59</f>
        <v>ค่าเช่ารถตู้ รวมน้ำมัน (80 โรงงาน x 2 วัน x 2 ครั้ง)</v>
      </c>
      <c r="C44" s="923">
        <f>'[2]Safety thailand ok'!G59</f>
        <v>720000</v>
      </c>
    </row>
    <row r="45" spans="1:3">
      <c r="A45" s="932"/>
      <c r="B45" s="922" t="str">
        <f>'[2]Safety thailand ok'!B60</f>
        <v>ค่าเครื่องบินวิทยากร (15 โรงงาน X 2 คน  x 2 ครั้ง)</v>
      </c>
      <c r="C45" s="923">
        <f>'[2]Safety thailand ok'!G60</f>
        <v>300000</v>
      </c>
    </row>
    <row r="46" spans="1:3">
      <c r="A46" s="932"/>
      <c r="B46" s="922" t="str">
        <f>'[2]Safety thailand ok'!B61</f>
        <v>ค่าที่พักวิทยากร (80 โรงงาน  x  2 คน x 1 คืน  x 2 ครั้ง)</v>
      </c>
      <c r="C46" s="923">
        <f>'[2]Safety thailand ok'!G61</f>
        <v>240000</v>
      </c>
    </row>
    <row r="47" spans="1:3">
      <c r="A47" s="932"/>
      <c r="B47" s="922" t="str">
        <f>'[2]Safety thailand ok'!B62</f>
        <v>ค่าเอกสารประกอบการตรวจ (4 คน x 1 ชุด  x 2 ครั้ง)</v>
      </c>
      <c r="C47" s="923">
        <f>'[2]Safety thailand ok'!G62</f>
        <v>800</v>
      </c>
    </row>
    <row r="48" spans="1:3">
      <c r="A48" s="1080"/>
      <c r="B48" s="922" t="str">
        <f>'[2]Safety thailand ok'!B63</f>
        <v>ค่าใช้จ่ายเบ็ดเตล็ดอื่นๆ เช่น ค่าติดต่อประสานงาน (80 โรงงาน x 2 ครั้ง)</v>
      </c>
      <c r="C48" s="923">
        <f>'[2]Safety thailand ok'!G63</f>
        <v>8000</v>
      </c>
    </row>
    <row r="49" spans="1:3" ht="42">
      <c r="A49" s="915">
        <v>2.5</v>
      </c>
      <c r="B49" s="913" t="s">
        <v>1647</v>
      </c>
      <c r="C49" s="914">
        <f>C50+C51+C52+C53+C54</f>
        <v>2012800</v>
      </c>
    </row>
    <row r="50" spans="1:3" ht="42">
      <c r="A50" s="932"/>
      <c r="B50" s="922" t="s">
        <v>1832</v>
      </c>
      <c r="C50" s="923">
        <f>'[2]Safety thailand ok'!G18</f>
        <v>1344000</v>
      </c>
    </row>
    <row r="51" spans="1:3">
      <c r="A51" s="932"/>
      <c r="B51" s="922" t="str">
        <f>'[2]Safety thailand ok'!B68</f>
        <v>ค่าเช่ารถตู้ รวมน้ำมัน (80 โรงงาน X 1 วัน  x 2 ครั้ง)</v>
      </c>
      <c r="C51" s="923">
        <f>'[2]Safety thailand ok'!G68</f>
        <v>360000</v>
      </c>
    </row>
    <row r="52" spans="1:3">
      <c r="A52" s="932"/>
      <c r="B52" s="922" t="str">
        <f>'[2]Safety thailand ok'!B69</f>
        <v>ค่าเครื่องบินวิทยากร (15 โรงงาน X 2 คน  x 2 ครั้ง)</v>
      </c>
      <c r="C52" s="923">
        <f>'[2]Safety thailand ok'!G69</f>
        <v>300000</v>
      </c>
    </row>
    <row r="53" spans="1:3">
      <c r="A53" s="932"/>
      <c r="B53" s="922" t="str">
        <f>'[2]Safety thailand ok'!B70</f>
        <v>ค่าเอกสารประกอบการตรวจ (4 คน x 1 ชุด  x 2 ครั้ง)</v>
      </c>
      <c r="C53" s="923">
        <f>'[2]Safety thailand ok'!G70</f>
        <v>800</v>
      </c>
    </row>
    <row r="54" spans="1:3">
      <c r="A54" s="1080"/>
      <c r="B54" s="922" t="str">
        <f>'[2]Safety thailand ok'!B71</f>
        <v>ค่าใช้จ่ายเบ็ดเตล็ดอื่นๆ เช่น ค่าติดต่อประสานงาน (80 โรงงาน x 2 ครั้ง)</v>
      </c>
      <c r="C54" s="923">
        <f>'[2]Safety thailand ok'!G71</f>
        <v>8000</v>
      </c>
    </row>
    <row r="55" spans="1:3" ht="42">
      <c r="A55" s="915">
        <v>2.6</v>
      </c>
      <c r="B55" s="913" t="str">
        <f>'[2]Safety thailand ok'!B73:E73</f>
        <v>การเผยแพร่องค์ความรู้ให้แก่ผู้ประกอบการโดยผ่านสื่อต่างๆ เช่น เอกสารคู่มือ / ซีดีรอมข้อมูล / วีดิทัศน์ /แผ่นป้าย</v>
      </c>
      <c r="C55" s="914">
        <f>C56+C57+C58+C59+C60+C61+C62+C63</f>
        <v>244455</v>
      </c>
    </row>
    <row r="56" spans="1:3">
      <c r="A56" s="932"/>
      <c r="B56" s="934" t="str">
        <f>'[2]Safety thailand ok'!B75</f>
        <v>จัดพิมพ์เอกสารหลักเกณฑ์/มาตรฐาน สำหรับผู้ประกอบการ</v>
      </c>
      <c r="C56" s="923">
        <f>'[2]Safety thailand ok'!G75</f>
        <v>90000</v>
      </c>
    </row>
    <row r="57" spans="1:3">
      <c r="A57" s="932"/>
      <c r="B57" s="934" t="str">
        <f>'[2]Safety thailand ok'!B76</f>
        <v>จัดพิมพ์เอกสารหลักเกณฑ์/มาตรฐาน สำหรับเจ้าหน้าที่ของรัฐ</v>
      </c>
      <c r="C57" s="923">
        <f>'[2]Safety thailand ok'!G76</f>
        <v>37500</v>
      </c>
    </row>
    <row r="58" spans="1:3">
      <c r="A58" s="932"/>
      <c r="B58" s="934" t="str">
        <f>'[2]Safety thailand ok'!B77</f>
        <v>จัดทำ CD รวบรวมข้อมูลหลักเกณฑ์/มาตรฐาน</v>
      </c>
      <c r="C58" s="923">
        <f>'[2]Safety thailand ok'!G77</f>
        <v>2260</v>
      </c>
    </row>
    <row r="59" spans="1:3">
      <c r="A59" s="932"/>
      <c r="B59" s="934" t="str">
        <f>'[2]Safety thailand ok'!B78</f>
        <v xml:space="preserve">จัดทำ CD องค์ความรู้ด้านมาตรฐานความปลอดภัยในรูปแบบ เช่น วีดิทัศน์ </v>
      </c>
      <c r="C59" s="923">
        <f>'[2]Safety thailand ok'!G78</f>
        <v>2260</v>
      </c>
    </row>
    <row r="60" spans="1:3">
      <c r="A60" s="932"/>
      <c r="B60" s="934" t="str">
        <f>'[2]Safety thailand ok'!B79</f>
        <v xml:space="preserve">ค่าแผ่นพับ ขนาด A4 พิมพ์ 4 สี 2 หน้าพับ 3 ตอน </v>
      </c>
      <c r="C60" s="923">
        <f>'[2]Safety thailand ok'!G79</f>
        <v>1065</v>
      </c>
    </row>
    <row r="61" spans="1:3">
      <c r="A61" s="932"/>
      <c r="B61" s="934" t="str">
        <f>'[2]Safety thailand ok'!B80</f>
        <v xml:space="preserve">โปสเตอร์ ขนาด A2 พิมพ์ 4 สี </v>
      </c>
      <c r="C61" s="923">
        <f>'[2]Safety thailand ok'!G80</f>
        <v>1370</v>
      </c>
    </row>
    <row r="62" spans="1:3">
      <c r="A62" s="932"/>
      <c r="B62" s="934" t="str">
        <f>'[2]Safety thailand ok'!B81</f>
        <v>แผ่นป้ายไวนิล ขนาดประมาณ 1.2x2.4 เมตร</v>
      </c>
      <c r="C62" s="923">
        <f>'[2]Safety thailand ok'!G81</f>
        <v>40000</v>
      </c>
    </row>
    <row r="63" spans="1:3">
      <c r="A63" s="1080"/>
      <c r="B63" s="934" t="str">
        <f>'[2]Safety thailand ok'!B82</f>
        <v>จัดทำวีดีทัศน์สรุปผลการดำเนินงาน ความยาวไม่เกิน 5 นาที</v>
      </c>
      <c r="C63" s="923">
        <f>'[2]Safety thailand ok'!G82</f>
        <v>70000</v>
      </c>
    </row>
    <row r="64" spans="1:3" ht="42">
      <c r="A64" s="1082">
        <v>2.7</v>
      </c>
      <c r="B64" s="913" t="s">
        <v>1648</v>
      </c>
      <c r="C64" s="1083">
        <f>C65+C66+C67+C68+C69+C70+C71+C72+C73</f>
        <v>442950</v>
      </c>
    </row>
    <row r="65" spans="1:3">
      <c r="A65" s="932"/>
      <c r="B65" s="934" t="str">
        <f>'[2]Safety thailand ok'!B87</f>
        <v>ค่าสถานที่และโสตทัศนูปกรณ์</v>
      </c>
      <c r="C65" s="923">
        <f>'[2]Safety thailand ok'!G87</f>
        <v>50000</v>
      </c>
    </row>
    <row r="66" spans="1:3">
      <c r="A66" s="932"/>
      <c r="B66" s="934" t="str">
        <f>'[2]Safety thailand ok'!B88</f>
        <v>ค่าอาหารผู้เข้าร่วมประชุม (อาหารเที่ยง) (60 คน  x 5 ครั้ง)</v>
      </c>
      <c r="C66" s="923">
        <f>'[2]Safety thailand ok'!G88</f>
        <v>180000</v>
      </c>
    </row>
    <row r="67" spans="1:3">
      <c r="A67" s="932"/>
      <c r="B67" s="934" t="str">
        <f>'[2]Safety thailand ok'!B89</f>
        <v>ค่าเช่ารถตู้ รวมน้ำมัน (2 วัน  x 5 ครั้ง)</v>
      </c>
      <c r="C67" s="923">
        <f>'[2]Safety thailand ok'!G89</f>
        <v>22500</v>
      </c>
    </row>
    <row r="68" spans="1:3">
      <c r="A68" s="932"/>
      <c r="B68" s="934" t="str">
        <f>'[2]Safety thailand ok'!B90</f>
        <v>ค่าวิทยากร (7 ชม.  x 5 ครั้ง)</v>
      </c>
      <c r="C68" s="923">
        <f>'[2]Safety thailand ok'!G90</f>
        <v>42000</v>
      </c>
    </row>
    <row r="69" spans="1:3">
      <c r="A69" s="932"/>
      <c r="B69" s="934" t="str">
        <f>'[2]Safety thailand ok'!B91</f>
        <v>ค่าเบี้ยเลี้ยงเจ้าหน้าที่เตรียมการ (3 คน x 2 วัน  x 5 ครั้ง)</v>
      </c>
      <c r="C69" s="923">
        <f>'[2]Safety thailand ok'!G91</f>
        <v>7200</v>
      </c>
    </row>
    <row r="70" spans="1:3">
      <c r="A70" s="932"/>
      <c r="B70" s="934" t="str">
        <f>'[2]Safety thailand ok'!B92</f>
        <v>ค่าที่พักเจ้าหน้าที่เตรียมการ (3 คน x  1 คืน  x 5 ครั้ง)</v>
      </c>
      <c r="C70" s="923">
        <f>'[2]Safety thailand ok'!G92</f>
        <v>11250</v>
      </c>
    </row>
    <row r="71" spans="1:3">
      <c r="A71" s="932"/>
      <c r="B71" s="934" t="str">
        <f>'[2]Safety thailand ok'!B93</f>
        <v>ค่าเอกสารประกอบการอบรม (60 คน x 1 ชุด  x 5 ครั้ง)</v>
      </c>
      <c r="C71" s="923">
        <f>'[2]Safety thailand ok'!G93</f>
        <v>45000</v>
      </c>
    </row>
    <row r="72" spans="1:3">
      <c r="A72" s="932"/>
      <c r="B72" s="934" t="str">
        <f>'[2]Safety thailand ok'!B94</f>
        <v xml:space="preserve">ค่าใช้จ่ายเบ็ดเตล็ดอื่นๆ เช่น ค่าติดต่อประสานงาน </v>
      </c>
      <c r="C72" s="923">
        <f>'[2]Safety thailand ok'!G94</f>
        <v>5000</v>
      </c>
    </row>
    <row r="73" spans="1:3">
      <c r="A73" s="1080"/>
      <c r="B73" s="934" t="str">
        <f>'[2]Safety thailand ok'!B95</f>
        <v>โล่รางวัลและประกาศเกียรติบัตรแก่โรงงานที่เข้าร่วมดำเนินการ</v>
      </c>
      <c r="C73" s="923">
        <f>'[2]Safety thailand ok'!G95</f>
        <v>80000</v>
      </c>
    </row>
    <row r="74" spans="1:3">
      <c r="A74" s="915">
        <v>2.8</v>
      </c>
      <c r="B74" s="912" t="str">
        <f>'[2]Safety thailand ok'!B97</f>
        <v>การจัดทำเอกสารรายงาน</v>
      </c>
      <c r="C74" s="914">
        <f>C75+C76+C77+C78+C79+C80+C81+C82+C83</f>
        <v>62600</v>
      </c>
    </row>
    <row r="75" spans="1:3">
      <c r="A75" s="932"/>
      <c r="B75" s="934" t="str">
        <f>'[2]Safety thailand ok'!B99</f>
        <v xml:space="preserve">รายงานรวบรวมผลการศึกษาแนวทาง/คู่มือความปลอดภัย </v>
      </c>
      <c r="C75" s="923">
        <f>'[2]Safety thailand ok'!G99</f>
        <v>15000</v>
      </c>
    </row>
    <row r="76" spans="1:3">
      <c r="A76" s="932"/>
      <c r="B76" s="934" t="str">
        <f>'[2]Safety thailand ok'!B100</f>
        <v>รายงานผลการดำเนินการของผู้ประกอบการ (80 โรงงาน )</v>
      </c>
      <c r="C76" s="923">
        <f>'[2]Safety thailand ok'!G100</f>
        <v>24000</v>
      </c>
    </row>
    <row r="77" spans="1:3">
      <c r="A77" s="932"/>
      <c r="B77" s="934" t="str">
        <f>'[2]Safety thailand ok'!B101</f>
        <v>แผนการดำเนินโครงการ 8 ฉบับ พร้อม CD-Rom 1 แผ่น</v>
      </c>
      <c r="C77" s="923">
        <f>'[2]Safety thailand ok'!G101</f>
        <v>2400</v>
      </c>
    </row>
    <row r="78" spans="1:3">
      <c r="A78" s="932"/>
      <c r="B78" s="934" t="str">
        <f>'[2]Safety thailand ok'!B102</f>
        <v>รายงานฉบับที่ 1 จำนวน 8 ฉบับ พร้อม CD-Rom 1 แผ่น</v>
      </c>
      <c r="C78" s="923">
        <f>'[2]Safety thailand ok'!G102</f>
        <v>2400</v>
      </c>
    </row>
    <row r="79" spans="1:3">
      <c r="A79" s="932"/>
      <c r="B79" s="934" t="str">
        <f>'[2]Safety thailand ok'!B103</f>
        <v>รายงานฉบับที่ 2 จำนวน 8 ฉบับ พร้อม CD-Rom 1 แผ่น</v>
      </c>
      <c r="C79" s="923">
        <f>'[2]Safety thailand ok'!G103</f>
        <v>2400</v>
      </c>
    </row>
    <row r="80" spans="1:3">
      <c r="A80" s="932"/>
      <c r="B80" s="934" t="str">
        <f>'[2]Safety thailand ok'!B104</f>
        <v>รายงานฉบับที่ 3 จำนวน 8 ฉบับ พร้อม CD-Rom 1 แผ่นพร้อม CD-Rom</v>
      </c>
      <c r="C80" s="923">
        <f>'[2]Safety thailand ok'!G104</f>
        <v>4000</v>
      </c>
    </row>
    <row r="81" spans="1:3">
      <c r="A81" s="932"/>
      <c r="B81" s="934" t="str">
        <f>'[2]Safety thailand ok'!B105</f>
        <v>รายงานฉบับสมบูรณ์ (Final Report)</v>
      </c>
      <c r="C81" s="923"/>
    </row>
    <row r="82" spans="1:3">
      <c r="A82" s="932"/>
      <c r="B82" s="934" t="str">
        <f>'[2]Safety thailand ok'!B106</f>
        <v>1) รายงานฉบับสมบูรณ์ ภาษาไทย พร้อม CD-Rom</v>
      </c>
      <c r="C82" s="923">
        <f>'[2]Safety thailand ok'!G106</f>
        <v>6400</v>
      </c>
    </row>
    <row r="83" spans="1:3">
      <c r="A83" s="1080"/>
      <c r="B83" s="934" t="str">
        <f>'[2]Safety thailand ok'!B107</f>
        <v>2) รายงานสรุปสำหรับผู้บริหาร ไทยและอังกฤษ</v>
      </c>
      <c r="C83" s="923">
        <f>'[2]Safety thailand ok'!G107</f>
        <v>6000</v>
      </c>
    </row>
    <row r="84" spans="1:3">
      <c r="A84" s="912">
        <v>3</v>
      </c>
      <c r="B84" s="1084" t="s">
        <v>1649</v>
      </c>
      <c r="C84" s="914">
        <f>C85+C92+C98+C108</f>
        <v>1430550</v>
      </c>
    </row>
    <row r="85" spans="1:3" ht="42">
      <c r="A85" s="915">
        <v>3.1</v>
      </c>
      <c r="B85" s="913" t="s">
        <v>1650</v>
      </c>
      <c r="C85" s="914">
        <f>C86+C87+C88+C89+C90+C91</f>
        <v>584200</v>
      </c>
    </row>
    <row r="86" spans="1:3">
      <c r="A86" s="932"/>
      <c r="B86" s="922" t="str">
        <f>'[2]Safety thailand ok'!B115</f>
        <v>ค่าเช่ารถตู้ รวมน้ำมัน (30 โรงงาน x 2 วัน x 2 ครั้ง)</v>
      </c>
      <c r="C86" s="923">
        <f>'[2]Safety thailand ok'!G115</f>
        <v>270000</v>
      </c>
    </row>
    <row r="87" spans="1:3">
      <c r="A87" s="932"/>
      <c r="B87" s="922" t="str">
        <f>'[2]Safety thailand ok'!B116</f>
        <v>ค่าเบี้ยเลี้ยงเจ้าหน้าที่ (30 โรงงาน X 2 วัน X 2 คน x 2 ครั้ง)</v>
      </c>
      <c r="C87" s="923">
        <f>'[2]Safety thailand ok'!G116</f>
        <v>57600</v>
      </c>
    </row>
    <row r="88" spans="1:3">
      <c r="A88" s="932"/>
      <c r="B88" s="922" t="str">
        <f>'[2]Safety thailand ok'!B117</f>
        <v>ค่าเครื่องบินเจ้าหน้าที่ (8 โรงงาน X 2 คน x 2 ครั้ง)</v>
      </c>
      <c r="C88" s="923">
        <f>'[2]Safety thailand ok'!G117</f>
        <v>160000</v>
      </c>
    </row>
    <row r="89" spans="1:3">
      <c r="A89" s="932"/>
      <c r="B89" s="922" t="str">
        <f>'[2]Safety thailand ok'!B118</f>
        <v>ค่าที่พักเจ้าหน้าที่ (30 โรงงาน x  2 คน x 1 คืน x 2 ครั้ง)</v>
      </c>
      <c r="C89" s="923">
        <f>'[2]Safety thailand ok'!G118</f>
        <v>90000</v>
      </c>
    </row>
    <row r="90" spans="1:3">
      <c r="A90" s="932"/>
      <c r="B90" s="922" t="str">
        <f>'[2]Safety thailand ok'!B119</f>
        <v>ค่าเอกสารประกอบการตรวจ (2 คน x 1 ชุด 2 ครั้ง)</v>
      </c>
      <c r="C90" s="923">
        <f>'[2]Safety thailand ok'!G119</f>
        <v>600</v>
      </c>
    </row>
    <row r="91" spans="1:3">
      <c r="A91" s="1080"/>
      <c r="B91" s="922" t="str">
        <f>'[2]Safety thailand ok'!B120</f>
        <v>ค่าใช้จ่ายเบ็ดเตล็ดอื่นๆ เช่น ค่าติดต่อประสานงาน (30 โรงงาน x 2 ครั้ง)</v>
      </c>
      <c r="C91" s="923">
        <f>'[2]Safety thailand ok'!G120</f>
        <v>6000</v>
      </c>
    </row>
    <row r="92" spans="1:3" ht="51" customHeight="1">
      <c r="A92" s="915">
        <v>3.2</v>
      </c>
      <c r="B92" s="913" t="s">
        <v>1651</v>
      </c>
      <c r="C92" s="914">
        <f>C93+C94+C95+C96+C97</f>
        <v>330200</v>
      </c>
    </row>
    <row r="93" spans="1:3">
      <c r="A93" s="932"/>
      <c r="B93" s="922" t="str">
        <f>'[2]Safety thailand ok'!B125</f>
        <v>ค่าเช่ารถตู้ รวมน้ำมัน (30 โรงงาน X 1 วัน  x 2 ครั้ง)</v>
      </c>
      <c r="C93" s="923">
        <f>'[2]Safety thailand ok'!G125</f>
        <v>135000</v>
      </c>
    </row>
    <row r="94" spans="1:3">
      <c r="A94" s="932"/>
      <c r="B94" s="922" t="str">
        <f>'[2]Safety thailand ok'!B126</f>
        <v>ค่าเบี้ยเลี้ยงเจ้าหน้าที่ (30 โรงงาน X 1 วัน X 2 คน  x 2 ครั้ง)</v>
      </c>
      <c r="C94" s="923">
        <f>'[2]Safety thailand ok'!G126</f>
        <v>28800</v>
      </c>
    </row>
    <row r="95" spans="1:3">
      <c r="A95" s="932"/>
      <c r="B95" s="922" t="str">
        <f>'[2]Safety thailand ok'!B127</f>
        <v>ค่าเครื่องบินเจ้าหน้าที่ (8 โรงงาน X 2 คน  x 2 ครั้ง)</v>
      </c>
      <c r="C95" s="923">
        <f>'[2]Safety thailand ok'!G127</f>
        <v>160000</v>
      </c>
    </row>
    <row r="96" spans="1:3">
      <c r="A96" s="932"/>
      <c r="B96" s="922" t="str">
        <f>'[2]Safety thailand ok'!B128</f>
        <v>ค่าเอกสารประกอบการตรวจ (2 คน x 1 ชุด  x 2 ครั้ง)</v>
      </c>
      <c r="C96" s="923">
        <f>'[2]Safety thailand ok'!G128</f>
        <v>400</v>
      </c>
    </row>
    <row r="97" spans="1:3">
      <c r="A97" s="1080"/>
      <c r="B97" s="922" t="str">
        <f>'[2]Safety thailand ok'!B129</f>
        <v>ค่าใช้จ่ายเบ็ดเตล็ดอื่นๆ เช่น ค่าติดต่อประสานงาน (30 โรงงาน x 2 ครั้ง)</v>
      </c>
      <c r="C97" s="923">
        <f>'[2]Safety thailand ok'!G129</f>
        <v>6000</v>
      </c>
    </row>
    <row r="98" spans="1:3" ht="42">
      <c r="A98" s="915">
        <v>3.3</v>
      </c>
      <c r="B98" s="913" t="s">
        <v>1652</v>
      </c>
      <c r="C98" s="914">
        <f>C99+C100+C101+C102+C103+C104+C105+C106+C107</f>
        <v>405550</v>
      </c>
    </row>
    <row r="99" spans="1:3">
      <c r="A99" s="932"/>
      <c r="B99" s="922" t="str">
        <f>'[2]Safety thailand ok'!B134</f>
        <v>ค่าสถานที่และโสตทัศนูปกรณ์</v>
      </c>
      <c r="C99" s="923">
        <f>'[2]Safety thailand ok'!G134</f>
        <v>45000</v>
      </c>
    </row>
    <row r="100" spans="1:3">
      <c r="A100" s="932"/>
      <c r="B100" s="922" t="str">
        <f>'[2]Safety thailand ok'!B135</f>
        <v>ค่าอาหารผู้เข้าร่วมประชุม (อาหารเที่ยง) (20 คน x 2 วัน x 5 ครั้ง)</v>
      </c>
      <c r="C100" s="923">
        <f>'[2]Safety thailand ok'!G135</f>
        <v>120000</v>
      </c>
    </row>
    <row r="101" spans="1:3">
      <c r="A101" s="932"/>
      <c r="B101" s="922" t="str">
        <f>'[2]Safety thailand ok'!B136</f>
        <v>ค่าเช่ารถตู้ รวมน้ำมัน (3 วัน x 5 ครั้ง)</v>
      </c>
      <c r="C101" s="923">
        <f>'[2]Safety thailand ok'!G136</f>
        <v>33750</v>
      </c>
    </row>
    <row r="102" spans="1:3">
      <c r="A102" s="932"/>
      <c r="B102" s="922" t="str">
        <f>'[2]Safety thailand ok'!B137</f>
        <v>ค่าวิทยากร (7 ชม. X 2 วัน x 5 ครั้ง)</v>
      </c>
      <c r="C102" s="923">
        <f>'[2]Safety thailand ok'!G137</f>
        <v>84000</v>
      </c>
    </row>
    <row r="103" spans="1:3">
      <c r="A103" s="932"/>
      <c r="B103" s="922" t="str">
        <f>'[2]Safety thailand ok'!B138</f>
        <v>ค่าเบี้ยเลี้ยงเจ้าหน้าที่เตรียมการ (3 คน x 3 วัน x 5 ครั้ง)</v>
      </c>
      <c r="C103" s="923">
        <f>'[2]Safety thailand ok'!G138</f>
        <v>10800</v>
      </c>
    </row>
    <row r="104" spans="1:3">
      <c r="A104" s="932"/>
      <c r="B104" s="922" t="str">
        <f>'[2]Safety thailand ok'!B139</f>
        <v>ค่าที่พักเจ้าหน้าที่เตรียมการ (3 คน x  2 คืน x 5 ครั้ง)</v>
      </c>
      <c r="C104" s="923">
        <f>'[2]Safety thailand ok'!G139</f>
        <v>22500</v>
      </c>
    </row>
    <row r="105" spans="1:3">
      <c r="A105" s="932"/>
      <c r="B105" s="922" t="str">
        <f>'[2]Safety thailand ok'!B140</f>
        <v>ค่าที่พักเจ้าหน้าที่ (20 คน x 1 คืน x 5 ครั้ง)</v>
      </c>
      <c r="C105" s="923">
        <f>'[2]Safety thailand ok'!G140</f>
        <v>75000</v>
      </c>
    </row>
    <row r="106" spans="1:3">
      <c r="A106" s="932"/>
      <c r="B106" s="922" t="str">
        <f>'[2]Safety thailand ok'!B141</f>
        <v>ค่าเอกสารประกอบการอบรม (20 คน x 1 ชุด x 5 ครั้ง)</v>
      </c>
      <c r="C106" s="923">
        <f>'[2]Safety thailand ok'!G141</f>
        <v>10000</v>
      </c>
    </row>
    <row r="107" spans="1:3">
      <c r="A107" s="1080"/>
      <c r="B107" s="922" t="str">
        <f>'[2]Safety thailand ok'!B142</f>
        <v xml:space="preserve">ค่าใช้จ่ายเบ็ดเตล็ดอื่นๆ เช่น ค่าติดต่อประสานงาน </v>
      </c>
      <c r="C107" s="923">
        <f>'[2]Safety thailand ok'!G142</f>
        <v>4500</v>
      </c>
    </row>
    <row r="108" spans="1:3">
      <c r="A108" s="915">
        <v>3.4</v>
      </c>
      <c r="B108" s="913" t="s">
        <v>1653</v>
      </c>
      <c r="C108" s="914">
        <f>C109+C110+C111+C112+C113+C114</f>
        <v>110600</v>
      </c>
    </row>
    <row r="109" spans="1:3">
      <c r="A109" s="932"/>
      <c r="B109" s="922" t="str">
        <f>'[2]Safety thailand ok'!B147</f>
        <v>ค่าอาหารผู้เข้าร่วม (อาหารเที่ยง) (ครั้งละ 25 คน x 2 ครั้ง)</v>
      </c>
      <c r="C109" s="923">
        <f>'[2]Safety thailand ok'!G147</f>
        <v>30000</v>
      </c>
    </row>
    <row r="110" spans="1:3">
      <c r="A110" s="932"/>
      <c r="B110" s="922" t="str">
        <f>'[2]Safety thailand ok'!B148</f>
        <v>ค่าเช่ารถตู้ รวมน้ำมัน (2 วัน x 2 ครั้ง)</v>
      </c>
      <c r="C110" s="923">
        <f>'[2]Safety thailand ok'!G148</f>
        <v>9000</v>
      </c>
    </row>
    <row r="111" spans="1:3">
      <c r="A111" s="932"/>
      <c r="B111" s="922" t="str">
        <f>'[2]Safety thailand ok'!B149</f>
        <v>ค่าวิทยากร (7 ชม. X 2 วัน x 2 ครั้ง)</v>
      </c>
      <c r="C111" s="923">
        <f>'[2]Safety thailand ok'!G149</f>
        <v>33600</v>
      </c>
    </row>
    <row r="112" spans="1:3">
      <c r="A112" s="932"/>
      <c r="B112" s="922" t="str">
        <f>'[2]Safety thailand ok'!B150</f>
        <v>ค่าที่พักผู้เข้าร่วม (20 คน x  1 คืน x 2 ครั้ง)</v>
      </c>
      <c r="C112" s="923">
        <f>'[2]Safety thailand ok'!G150</f>
        <v>30000</v>
      </c>
    </row>
    <row r="113" spans="1:3">
      <c r="A113" s="932"/>
      <c r="B113" s="922" t="str">
        <f>'[2]Safety thailand ok'!B151</f>
        <v>ค่าของที่ระลึก (ครั้งละ 2 ชุด x 2 ครั้ง)</v>
      </c>
      <c r="C113" s="923">
        <f>'[2]Safety thailand ok'!G151</f>
        <v>6000</v>
      </c>
    </row>
    <row r="114" spans="1:3">
      <c r="A114" s="1080"/>
      <c r="B114" s="922" t="str">
        <f>'[2]Safety thailand ok'!B152</f>
        <v xml:space="preserve">ค่าใช้จ่ายเบ็ดเตล็ดอื่นๆ เช่น ค่าติดต่อประสานงาน </v>
      </c>
      <c r="C114" s="923">
        <f>'[2]Safety thailand ok'!G152</f>
        <v>2000</v>
      </c>
    </row>
    <row r="115" spans="1:3">
      <c r="A115" s="912"/>
      <c r="B115" s="912"/>
      <c r="C115" s="914"/>
    </row>
    <row r="116" spans="1:3">
      <c r="A116" s="912"/>
      <c r="B116" s="924" t="s">
        <v>1330</v>
      </c>
      <c r="C116" s="914">
        <f>C6+C13+C84</f>
        <v>10000000</v>
      </c>
    </row>
    <row r="117" spans="1:3">
      <c r="A117" s="925"/>
      <c r="B117" s="926" t="str">
        <f>BAHTTEXT(C116)</f>
        <v>สิบล้านบาทถ้วน</v>
      </c>
      <c r="C117" s="927"/>
    </row>
    <row r="118" spans="1:3">
      <c r="C118" s="92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51"/>
  <sheetViews>
    <sheetView workbookViewId="0">
      <selection sqref="A1:H1"/>
    </sheetView>
  </sheetViews>
  <sheetFormatPr defaultColWidth="9.125" defaultRowHeight="15"/>
  <cols>
    <col min="1" max="1" width="2.75" style="35" customWidth="1"/>
    <col min="2" max="2" width="23" style="35" customWidth="1"/>
    <col min="3" max="3" width="15.375" style="35" customWidth="1"/>
    <col min="4" max="4" width="4.25" style="35" customWidth="1"/>
    <col min="5" max="5" width="7.875" style="35" customWidth="1"/>
    <col min="6" max="6" width="9.375" style="35" customWidth="1"/>
    <col min="7" max="7" width="9.625" style="35" customWidth="1"/>
    <col min="8" max="8" width="14.25" style="35" customWidth="1"/>
    <col min="9" max="16384" width="9.125" style="35"/>
  </cols>
  <sheetData>
    <row r="1" spans="1:8" ht="26.25" customHeight="1">
      <c r="A1" s="1405" t="s">
        <v>1062</v>
      </c>
      <c r="B1" s="1405"/>
      <c r="C1" s="1405"/>
      <c r="D1" s="1405"/>
      <c r="E1" s="1405"/>
      <c r="F1" s="1405"/>
      <c r="G1" s="1405"/>
      <c r="H1" s="1405"/>
    </row>
    <row r="2" spans="1:8" ht="53.25" customHeight="1">
      <c r="A2" s="1406" t="s">
        <v>125</v>
      </c>
      <c r="B2" s="1406"/>
      <c r="C2" s="1406"/>
      <c r="D2" s="1406"/>
      <c r="E2" s="1406"/>
      <c r="F2" s="1406"/>
      <c r="G2" s="1406"/>
      <c r="H2" s="1406"/>
    </row>
    <row r="3" spans="1:8" ht="21" customHeight="1">
      <c r="A3" s="1407" t="s">
        <v>6</v>
      </c>
      <c r="B3" s="1408"/>
      <c r="C3" s="1408"/>
      <c r="D3" s="1408"/>
      <c r="E3" s="1408"/>
      <c r="F3" s="1408"/>
      <c r="G3" s="1408"/>
      <c r="H3" s="1409"/>
    </row>
    <row r="4" spans="1:8" ht="21" customHeight="1">
      <c r="A4" s="88">
        <v>1</v>
      </c>
      <c r="B4" s="1410" t="s">
        <v>126</v>
      </c>
      <c r="C4" s="1410"/>
      <c r="D4" s="1410"/>
      <c r="E4" s="1410"/>
      <c r="F4" s="1410"/>
      <c r="G4" s="1410"/>
      <c r="H4" s="1411"/>
    </row>
    <row r="5" spans="1:8" ht="21" customHeight="1">
      <c r="A5" s="36"/>
      <c r="B5" s="37" t="s">
        <v>127</v>
      </c>
      <c r="C5" s="37"/>
      <c r="D5" s="37"/>
      <c r="E5" s="37"/>
      <c r="F5" s="37"/>
      <c r="G5" s="37"/>
      <c r="H5" s="784"/>
    </row>
    <row r="6" spans="1:8" ht="31.5" customHeight="1">
      <c r="A6" s="38"/>
      <c r="B6" s="39"/>
      <c r="C6" s="40" t="s">
        <v>128</v>
      </c>
      <c r="E6" s="40" t="s">
        <v>129</v>
      </c>
      <c r="F6" s="40" t="s">
        <v>130</v>
      </c>
      <c r="G6" s="40" t="s">
        <v>131</v>
      </c>
      <c r="H6" s="785" t="s">
        <v>132</v>
      </c>
    </row>
    <row r="7" spans="1:8" ht="15" customHeight="1">
      <c r="A7" s="38">
        <v>1</v>
      </c>
      <c r="B7" s="41" t="s">
        <v>8</v>
      </c>
      <c r="C7" s="42" t="s">
        <v>133</v>
      </c>
      <c r="E7" s="43" t="s">
        <v>134</v>
      </c>
      <c r="F7" s="44">
        <v>50000</v>
      </c>
      <c r="G7" s="45">
        <v>6</v>
      </c>
      <c r="H7" s="786">
        <v>300000</v>
      </c>
    </row>
    <row r="8" spans="1:8" ht="36.75" customHeight="1">
      <c r="A8" s="38">
        <v>2</v>
      </c>
      <c r="B8" s="39" t="s">
        <v>135</v>
      </c>
      <c r="C8" s="42" t="s">
        <v>136</v>
      </c>
      <c r="E8" s="46">
        <v>1</v>
      </c>
      <c r="F8" s="44">
        <v>40000</v>
      </c>
      <c r="G8" s="46">
        <v>5</v>
      </c>
      <c r="H8" s="786">
        <v>200000</v>
      </c>
    </row>
    <row r="9" spans="1:8" ht="21.75" customHeight="1">
      <c r="A9" s="47">
        <v>3</v>
      </c>
      <c r="B9" s="48" t="s">
        <v>137</v>
      </c>
      <c r="C9" s="42" t="s">
        <v>136</v>
      </c>
      <c r="E9" s="46">
        <v>1</v>
      </c>
      <c r="F9" s="44">
        <v>40000</v>
      </c>
      <c r="G9" s="46">
        <v>5</v>
      </c>
      <c r="H9" s="786">
        <v>200000</v>
      </c>
    </row>
    <row r="10" spans="1:8" s="49" customFormat="1" ht="33.75" customHeight="1">
      <c r="A10" s="38">
        <v>4</v>
      </c>
      <c r="B10" s="48" t="s">
        <v>138</v>
      </c>
      <c r="C10" s="42" t="s">
        <v>136</v>
      </c>
      <c r="E10" s="46">
        <v>1</v>
      </c>
      <c r="F10" s="44">
        <v>40000</v>
      </c>
      <c r="G10" s="46">
        <v>5</v>
      </c>
      <c r="H10" s="786">
        <v>200000</v>
      </c>
    </row>
    <row r="11" spans="1:8" ht="15" customHeight="1">
      <c r="A11" s="38">
        <v>5</v>
      </c>
      <c r="B11" s="41" t="s">
        <v>139</v>
      </c>
      <c r="C11" s="42" t="s">
        <v>140</v>
      </c>
      <c r="E11" s="46">
        <v>1</v>
      </c>
      <c r="F11" s="44">
        <v>15000</v>
      </c>
      <c r="G11" s="45">
        <v>9</v>
      </c>
      <c r="H11" s="786">
        <v>135000</v>
      </c>
    </row>
    <row r="12" spans="1:8" ht="15" customHeight="1">
      <c r="A12" s="38">
        <v>6</v>
      </c>
      <c r="B12" s="41" t="s">
        <v>9</v>
      </c>
      <c r="C12" s="42" t="s">
        <v>141</v>
      </c>
      <c r="E12" s="46">
        <v>1</v>
      </c>
      <c r="F12" s="44">
        <v>15000</v>
      </c>
      <c r="G12" s="45">
        <v>9</v>
      </c>
      <c r="H12" s="786">
        <v>135000</v>
      </c>
    </row>
    <row r="13" spans="1:8" ht="15" customHeight="1">
      <c r="A13" s="38">
        <v>7</v>
      </c>
      <c r="B13" s="41" t="s">
        <v>142</v>
      </c>
      <c r="C13" s="42" t="s">
        <v>141</v>
      </c>
      <c r="E13" s="46">
        <v>1</v>
      </c>
      <c r="F13" s="44">
        <v>18000</v>
      </c>
      <c r="G13" s="45">
        <v>9</v>
      </c>
      <c r="H13" s="786">
        <v>162000</v>
      </c>
    </row>
    <row r="14" spans="1:8" ht="15" customHeight="1" thickBot="1">
      <c r="A14" s="38"/>
      <c r="B14" s="41"/>
      <c r="C14" s="41"/>
      <c r="D14" s="50"/>
      <c r="E14" s="50"/>
      <c r="F14" s="50"/>
      <c r="G14" s="51" t="s">
        <v>1</v>
      </c>
      <c r="H14" s="787">
        <f>SUM(H7:H13)</f>
        <v>1332000</v>
      </c>
    </row>
    <row r="15" spans="1:8" ht="34.9" customHeight="1" thickTop="1">
      <c r="A15" s="36"/>
      <c r="B15" s="68" t="s">
        <v>1925</v>
      </c>
      <c r="C15" s="37"/>
      <c r="D15" s="37"/>
      <c r="E15" s="37"/>
      <c r="F15" s="37"/>
      <c r="G15" s="37"/>
      <c r="H15" s="784"/>
    </row>
    <row r="16" spans="1:8" ht="15" customHeight="1">
      <c r="A16" s="36"/>
      <c r="B16" s="68"/>
      <c r="C16" s="68"/>
      <c r="D16" s="43"/>
      <c r="E16" s="52" t="s">
        <v>143</v>
      </c>
      <c r="F16" s="52" t="s">
        <v>79</v>
      </c>
      <c r="G16" s="52" t="s">
        <v>144</v>
      </c>
      <c r="H16" s="788" t="s">
        <v>132</v>
      </c>
    </row>
    <row r="17" spans="1:8" ht="15" customHeight="1">
      <c r="A17" s="53">
        <v>1</v>
      </c>
      <c r="B17" s="41" t="s">
        <v>145</v>
      </c>
      <c r="C17" s="41"/>
      <c r="D17" s="54"/>
      <c r="E17" s="55">
        <v>10000</v>
      </c>
      <c r="F17" s="55">
        <v>4</v>
      </c>
      <c r="G17" s="56" t="s">
        <v>146</v>
      </c>
      <c r="H17" s="789">
        <v>40000</v>
      </c>
    </row>
    <row r="18" spans="1:8" ht="15.75" customHeight="1">
      <c r="A18" s="47">
        <v>2</v>
      </c>
      <c r="B18" s="41" t="s">
        <v>147</v>
      </c>
      <c r="C18" s="41"/>
      <c r="D18" s="54"/>
      <c r="E18" s="55">
        <v>500</v>
      </c>
      <c r="F18" s="55">
        <v>40</v>
      </c>
      <c r="G18" s="56" t="s">
        <v>148</v>
      </c>
      <c r="H18" s="790">
        <v>20000</v>
      </c>
    </row>
    <row r="19" spans="1:8" ht="15" customHeight="1">
      <c r="A19" s="53">
        <v>3</v>
      </c>
      <c r="B19" s="41" t="s">
        <v>149</v>
      </c>
      <c r="C19" s="41"/>
      <c r="D19" s="54"/>
      <c r="E19" s="55"/>
      <c r="F19" s="55"/>
      <c r="G19" s="56"/>
      <c r="H19" s="789">
        <v>15000</v>
      </c>
    </row>
    <row r="20" spans="1:8" ht="15" customHeight="1">
      <c r="A20" s="53">
        <v>4</v>
      </c>
      <c r="B20" s="41" t="s">
        <v>150</v>
      </c>
      <c r="C20" s="41"/>
      <c r="D20" s="54"/>
      <c r="E20" s="55"/>
      <c r="F20" s="55"/>
      <c r="G20" s="56"/>
      <c r="H20" s="789">
        <v>100000</v>
      </c>
    </row>
    <row r="21" spans="1:8" ht="15" customHeight="1">
      <c r="A21" s="53">
        <v>5</v>
      </c>
      <c r="B21" s="41" t="s">
        <v>151</v>
      </c>
      <c r="C21" s="41"/>
      <c r="D21" s="54"/>
      <c r="E21" s="55"/>
      <c r="F21" s="55"/>
      <c r="G21" s="56"/>
      <c r="H21" s="789">
        <v>150000</v>
      </c>
    </row>
    <row r="22" spans="1:8" ht="15" customHeight="1" thickBot="1">
      <c r="A22" s="57"/>
      <c r="C22" s="41"/>
      <c r="D22" s="50"/>
      <c r="E22" s="58"/>
      <c r="F22" s="58"/>
      <c r="G22" s="59" t="s">
        <v>1</v>
      </c>
      <c r="H22" s="791">
        <f>SUM(H17:H21)</f>
        <v>325000</v>
      </c>
    </row>
    <row r="23" spans="1:8" s="67" customFormat="1" ht="19.899999999999999" customHeight="1" thickTop="1">
      <c r="A23" s="64"/>
      <c r="B23" s="89" t="s">
        <v>1926</v>
      </c>
      <c r="C23" s="89"/>
      <c r="D23" s="65"/>
      <c r="E23" s="65"/>
      <c r="F23" s="65"/>
      <c r="G23" s="65"/>
      <c r="H23" s="66"/>
    </row>
    <row r="24" spans="1:8" ht="24.6" customHeight="1">
      <c r="A24" s="36"/>
      <c r="B24" s="1403" t="s">
        <v>152</v>
      </c>
      <c r="C24" s="1403"/>
      <c r="D24" s="1403"/>
      <c r="E24" s="1403"/>
      <c r="F24" s="1403"/>
      <c r="G24" s="1403"/>
      <c r="H24" s="1404"/>
    </row>
    <row r="25" spans="1:8" ht="15" customHeight="1">
      <c r="A25" s="36"/>
      <c r="B25" s="68"/>
      <c r="C25" s="68"/>
      <c r="D25" s="43"/>
      <c r="E25" s="52" t="s">
        <v>143</v>
      </c>
      <c r="F25" s="52" t="s">
        <v>79</v>
      </c>
      <c r="G25" s="52" t="s">
        <v>144</v>
      </c>
      <c r="H25" s="788" t="s">
        <v>132</v>
      </c>
    </row>
    <row r="26" spans="1:8" ht="15" customHeight="1">
      <c r="A26" s="53">
        <v>1</v>
      </c>
      <c r="B26" s="41" t="s">
        <v>153</v>
      </c>
      <c r="C26" s="41"/>
      <c r="D26" s="54"/>
      <c r="E26" s="44">
        <v>3000</v>
      </c>
      <c r="F26" s="44">
        <v>2</v>
      </c>
      <c r="G26" s="46" t="s">
        <v>146</v>
      </c>
      <c r="H26" s="792">
        <v>6000</v>
      </c>
    </row>
    <row r="27" spans="1:8" ht="15.75" customHeight="1">
      <c r="A27" s="47">
        <v>2</v>
      </c>
      <c r="B27" s="41" t="s">
        <v>154</v>
      </c>
      <c r="C27" s="41"/>
      <c r="D27" s="54"/>
      <c r="E27" s="44">
        <v>500</v>
      </c>
      <c r="F27" s="44">
        <v>60</v>
      </c>
      <c r="G27" s="46" t="s">
        <v>148</v>
      </c>
      <c r="H27" s="786">
        <v>30000</v>
      </c>
    </row>
    <row r="28" spans="1:8" ht="15" customHeight="1">
      <c r="A28" s="53">
        <v>3</v>
      </c>
      <c r="B28" s="41" t="s">
        <v>155</v>
      </c>
      <c r="C28" s="41"/>
      <c r="D28" s="54"/>
      <c r="E28" s="44">
        <v>1200</v>
      </c>
      <c r="F28" s="44">
        <v>14</v>
      </c>
      <c r="G28" s="46" t="s">
        <v>156</v>
      </c>
      <c r="H28" s="792">
        <v>16800</v>
      </c>
    </row>
    <row r="29" spans="1:8" ht="15" customHeight="1">
      <c r="A29" s="53">
        <v>4</v>
      </c>
      <c r="B29" s="41" t="s">
        <v>157</v>
      </c>
      <c r="C29" s="41"/>
      <c r="D29" s="54"/>
      <c r="E29" s="44">
        <v>150</v>
      </c>
      <c r="F29" s="44">
        <v>60</v>
      </c>
      <c r="G29" s="46" t="s">
        <v>148</v>
      </c>
      <c r="H29" s="792">
        <v>9000</v>
      </c>
    </row>
    <row r="30" spans="1:8" ht="15" customHeight="1" thickBot="1">
      <c r="A30" s="53"/>
      <c r="B30" s="41"/>
      <c r="C30" s="41"/>
      <c r="D30" s="50"/>
      <c r="E30" s="50"/>
      <c r="F30" s="50"/>
      <c r="G30" s="69" t="s">
        <v>1</v>
      </c>
      <c r="H30" s="793">
        <f>SUM(H26:H29)</f>
        <v>61800</v>
      </c>
    </row>
    <row r="31" spans="1:8" ht="24.6" customHeight="1" thickTop="1">
      <c r="A31" s="36"/>
      <c r="B31" s="1403" t="s">
        <v>158</v>
      </c>
      <c r="C31" s="1403"/>
      <c r="D31" s="1403"/>
      <c r="E31" s="1403"/>
      <c r="F31" s="1403"/>
      <c r="G31" s="1403"/>
      <c r="H31" s="1404"/>
    </row>
    <row r="32" spans="1:8" ht="15" customHeight="1">
      <c r="A32" s="36"/>
      <c r="B32" s="68"/>
      <c r="C32" s="68"/>
      <c r="D32" s="43"/>
      <c r="E32" s="52" t="s">
        <v>143</v>
      </c>
      <c r="F32" s="52" t="s">
        <v>79</v>
      </c>
      <c r="G32" s="52" t="s">
        <v>144</v>
      </c>
      <c r="H32" s="788" t="s">
        <v>132</v>
      </c>
    </row>
    <row r="33" spans="1:8" ht="15" customHeight="1">
      <c r="A33" s="38">
        <v>1</v>
      </c>
      <c r="B33" s="41" t="s">
        <v>159</v>
      </c>
      <c r="C33" s="41"/>
      <c r="D33" s="70"/>
      <c r="E33" s="44">
        <v>15000</v>
      </c>
      <c r="F33" s="46">
        <v>1</v>
      </c>
      <c r="G33" s="46" t="s">
        <v>146</v>
      </c>
      <c r="H33" s="794">
        <v>15000</v>
      </c>
    </row>
    <row r="34" spans="1:8" ht="15" customHeight="1">
      <c r="A34" s="38">
        <v>2</v>
      </c>
      <c r="B34" s="41" t="s">
        <v>160</v>
      </c>
      <c r="C34" s="41"/>
      <c r="D34" s="70"/>
      <c r="E34" s="46">
        <v>600</v>
      </c>
      <c r="F34" s="46">
        <v>200</v>
      </c>
      <c r="G34" s="46" t="s">
        <v>148</v>
      </c>
      <c r="H34" s="794">
        <v>120000</v>
      </c>
    </row>
    <row r="35" spans="1:8" ht="15" customHeight="1">
      <c r="A35" s="38">
        <v>3</v>
      </c>
      <c r="B35" s="41" t="s">
        <v>161</v>
      </c>
      <c r="C35" s="41"/>
      <c r="D35" s="70"/>
      <c r="E35" s="46">
        <v>1200</v>
      </c>
      <c r="F35" s="46">
        <v>7</v>
      </c>
      <c r="G35" s="46" t="s">
        <v>156</v>
      </c>
      <c r="H35" s="794">
        <v>84000</v>
      </c>
    </row>
    <row r="36" spans="1:8" ht="15" customHeight="1">
      <c r="A36" s="38">
        <v>4</v>
      </c>
      <c r="B36" s="41" t="s">
        <v>162</v>
      </c>
      <c r="C36" s="41"/>
      <c r="D36" s="70"/>
      <c r="E36" s="46">
        <v>100</v>
      </c>
      <c r="F36" s="46">
        <v>200</v>
      </c>
      <c r="G36" s="46" t="s">
        <v>148</v>
      </c>
      <c r="H36" s="794">
        <v>20000</v>
      </c>
    </row>
    <row r="37" spans="1:8" ht="15" customHeight="1">
      <c r="A37" s="38">
        <v>5</v>
      </c>
      <c r="B37" s="41" t="s">
        <v>163</v>
      </c>
      <c r="C37" s="41"/>
      <c r="D37" s="70"/>
      <c r="E37" s="70"/>
      <c r="F37" s="70"/>
      <c r="G37" s="70"/>
      <c r="H37" s="795">
        <v>2200</v>
      </c>
    </row>
    <row r="38" spans="1:8" ht="15" customHeight="1">
      <c r="A38" s="81"/>
      <c r="B38" s="73"/>
      <c r="C38" s="73"/>
      <c r="D38" s="82"/>
      <c r="E38" s="82"/>
      <c r="F38" s="82"/>
      <c r="G38" s="798" t="s">
        <v>1</v>
      </c>
      <c r="H38" s="799">
        <f>SUM(H33:H37)</f>
        <v>241200</v>
      </c>
    </row>
    <row r="39" spans="1:8" ht="15" customHeight="1">
      <c r="A39" s="88">
        <v>3</v>
      </c>
      <c r="B39" s="89" t="s">
        <v>1927</v>
      </c>
      <c r="C39" s="90"/>
      <c r="D39" s="91"/>
      <c r="E39" s="91"/>
      <c r="F39" s="91"/>
      <c r="G39" s="91"/>
      <c r="H39" s="92"/>
    </row>
    <row r="40" spans="1:8" ht="15" customHeight="1">
      <c r="A40" s="38"/>
      <c r="B40" s="41"/>
      <c r="C40" s="41"/>
      <c r="D40" s="70"/>
      <c r="E40" s="76" t="s">
        <v>143</v>
      </c>
      <c r="F40" s="76" t="s">
        <v>79</v>
      </c>
      <c r="G40" s="76" t="s">
        <v>144</v>
      </c>
      <c r="H40" s="797" t="s">
        <v>132</v>
      </c>
    </row>
    <row r="41" spans="1:8" ht="15" customHeight="1">
      <c r="A41" s="38">
        <v>1</v>
      </c>
      <c r="B41" s="41" t="s">
        <v>164</v>
      </c>
      <c r="C41" s="41"/>
      <c r="D41" s="70"/>
      <c r="E41" s="46">
        <v>100</v>
      </c>
      <c r="F41" s="46">
        <v>10</v>
      </c>
      <c r="G41" s="46" t="s">
        <v>165</v>
      </c>
      <c r="H41" s="794">
        <v>1000</v>
      </c>
    </row>
    <row r="42" spans="1:8" ht="15" customHeight="1">
      <c r="A42" s="38">
        <v>2</v>
      </c>
      <c r="B42" s="41" t="s">
        <v>166</v>
      </c>
      <c r="C42" s="41"/>
      <c r="D42" s="70"/>
      <c r="E42" s="46">
        <v>150</v>
      </c>
      <c r="F42" s="46">
        <v>10</v>
      </c>
      <c r="G42" s="46" t="s">
        <v>165</v>
      </c>
      <c r="H42" s="794">
        <v>1500</v>
      </c>
    </row>
    <row r="43" spans="1:8" ht="15" customHeight="1">
      <c r="A43" s="38">
        <v>3</v>
      </c>
      <c r="B43" s="41" t="s">
        <v>167</v>
      </c>
      <c r="C43" s="41"/>
      <c r="D43" s="70"/>
      <c r="E43" s="46">
        <v>150</v>
      </c>
      <c r="F43" s="46">
        <v>10</v>
      </c>
      <c r="G43" s="46" t="s">
        <v>165</v>
      </c>
      <c r="H43" s="794">
        <v>1500</v>
      </c>
    </row>
    <row r="44" spans="1:8" ht="15" customHeight="1">
      <c r="A44" s="38">
        <v>4</v>
      </c>
      <c r="B44" s="41" t="s">
        <v>168</v>
      </c>
      <c r="C44" s="41"/>
      <c r="D44" s="70"/>
      <c r="E44" s="46">
        <v>300</v>
      </c>
      <c r="F44" s="46">
        <v>10</v>
      </c>
      <c r="G44" s="46" t="s">
        <v>165</v>
      </c>
      <c r="H44" s="794">
        <v>3000</v>
      </c>
    </row>
    <row r="45" spans="1:8" ht="15" customHeight="1">
      <c r="A45" s="38">
        <v>5</v>
      </c>
      <c r="B45" s="41" t="s">
        <v>169</v>
      </c>
      <c r="C45" s="41"/>
      <c r="D45" s="70"/>
      <c r="E45" s="46">
        <v>300</v>
      </c>
      <c r="F45" s="46">
        <v>10</v>
      </c>
      <c r="G45" s="46" t="s">
        <v>165</v>
      </c>
      <c r="H45" s="794">
        <v>3000</v>
      </c>
    </row>
    <row r="46" spans="1:8" s="80" customFormat="1" ht="15" customHeight="1">
      <c r="A46" s="77">
        <v>6</v>
      </c>
      <c r="B46" s="78" t="s">
        <v>170</v>
      </c>
      <c r="C46" s="78"/>
      <c r="D46" s="79"/>
      <c r="E46" s="56">
        <v>300</v>
      </c>
      <c r="F46" s="56">
        <v>100</v>
      </c>
      <c r="G46" s="56" t="s">
        <v>165</v>
      </c>
      <c r="H46" s="795">
        <v>30000</v>
      </c>
    </row>
    <row r="47" spans="1:8" ht="15" customHeight="1" thickBot="1">
      <c r="A47" s="38"/>
      <c r="B47" s="41"/>
      <c r="C47" s="41"/>
      <c r="D47" s="70"/>
      <c r="E47" s="70"/>
      <c r="F47" s="70"/>
      <c r="G47" s="71" t="s">
        <v>1</v>
      </c>
      <c r="H47" s="796">
        <f>SUM(H41:H46)</f>
        <v>40000</v>
      </c>
    </row>
    <row r="48" spans="1:8" s="62" customFormat="1" ht="15" customHeight="1" thickTop="1">
      <c r="A48" s="81"/>
      <c r="B48" s="73"/>
      <c r="C48" s="73"/>
      <c r="D48" s="82"/>
      <c r="E48" s="82"/>
      <c r="F48" s="82"/>
      <c r="G48" s="82"/>
      <c r="H48" s="83"/>
    </row>
    <row r="49" spans="1:8" ht="20.25" customHeight="1">
      <c r="A49" s="45"/>
      <c r="B49" s="41"/>
      <c r="C49" s="41"/>
      <c r="D49" s="50"/>
      <c r="E49" s="50"/>
      <c r="F49" s="50"/>
      <c r="G49" s="84" t="s">
        <v>171</v>
      </c>
      <c r="H49" s="85">
        <f>SUM(H14,H22,H30,H38,H47)</f>
        <v>2000000</v>
      </c>
    </row>
    <row r="50" spans="1:8" ht="15" customHeight="1">
      <c r="A50" s="45"/>
      <c r="B50" s="41"/>
      <c r="C50" s="41"/>
      <c r="D50" s="50"/>
      <c r="E50" s="50"/>
      <c r="F50" s="50"/>
      <c r="G50" s="50"/>
      <c r="H50" s="50"/>
    </row>
    <row r="51" spans="1:8">
      <c r="H51" s="86"/>
    </row>
  </sheetData>
  <mergeCells count="6">
    <mergeCell ref="B31:H31"/>
    <mergeCell ref="A1:H1"/>
    <mergeCell ref="A2:H2"/>
    <mergeCell ref="A3:H3"/>
    <mergeCell ref="B4:H4"/>
    <mergeCell ref="B24:H24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61"/>
  <sheetViews>
    <sheetView topLeftCell="A40" workbookViewId="0">
      <selection activeCell="B14" sqref="B14"/>
    </sheetView>
  </sheetViews>
  <sheetFormatPr defaultColWidth="9.125" defaultRowHeight="15"/>
  <cols>
    <col min="1" max="1" width="2.75" style="35" customWidth="1"/>
    <col min="2" max="2" width="19" style="35" customWidth="1"/>
    <col min="3" max="3" width="19.375" style="35" customWidth="1"/>
    <col min="4" max="4" width="8.625" style="35" customWidth="1"/>
    <col min="5" max="5" width="10" style="35" customWidth="1"/>
    <col min="6" max="6" width="9.375" style="35" customWidth="1"/>
    <col min="7" max="7" width="10" style="35" customWidth="1"/>
    <col min="8" max="8" width="14.25" style="35" customWidth="1"/>
    <col min="9" max="16384" width="9.125" style="35"/>
  </cols>
  <sheetData>
    <row r="1" spans="1:8" ht="21">
      <c r="A1" s="1405" t="s">
        <v>1063</v>
      </c>
      <c r="B1" s="1405"/>
      <c r="C1" s="1405"/>
      <c r="D1" s="1405"/>
      <c r="E1" s="1405"/>
      <c r="F1" s="1405"/>
      <c r="G1" s="1405"/>
      <c r="H1" s="1405"/>
    </row>
    <row r="2" spans="1:8" ht="41.45" customHeight="1">
      <c r="A2" s="1406" t="s">
        <v>1064</v>
      </c>
      <c r="B2" s="1406"/>
      <c r="C2" s="1406"/>
      <c r="D2" s="1406"/>
      <c r="E2" s="1406"/>
      <c r="F2" s="1406"/>
      <c r="G2" s="1406"/>
      <c r="H2" s="1406"/>
    </row>
    <row r="3" spans="1:8" ht="18" customHeight="1">
      <c r="A3" s="1407" t="s">
        <v>6</v>
      </c>
      <c r="B3" s="1408"/>
      <c r="C3" s="1408"/>
      <c r="D3" s="1408"/>
      <c r="E3" s="1408"/>
      <c r="F3" s="1408"/>
      <c r="G3" s="1408"/>
      <c r="H3" s="1409"/>
    </row>
    <row r="4" spans="1:8" ht="21" customHeight="1">
      <c r="A4" s="36">
        <v>1</v>
      </c>
      <c r="B4" s="1412" t="s">
        <v>172</v>
      </c>
      <c r="C4" s="1412"/>
      <c r="D4" s="1412"/>
      <c r="E4" s="1412"/>
      <c r="F4" s="1412"/>
      <c r="G4" s="1412"/>
      <c r="H4" s="1413"/>
    </row>
    <row r="5" spans="1:8" ht="21" customHeight="1">
      <c r="A5" s="36"/>
      <c r="B5" s="37" t="s">
        <v>127</v>
      </c>
      <c r="C5" s="37"/>
      <c r="D5" s="37"/>
      <c r="E5" s="37"/>
      <c r="F5" s="37"/>
      <c r="G5" s="37"/>
      <c r="H5" s="784"/>
    </row>
    <row r="6" spans="1:8" ht="18.75" customHeight="1">
      <c r="A6" s="38"/>
      <c r="B6" s="39"/>
      <c r="C6" s="40" t="s">
        <v>128</v>
      </c>
      <c r="D6" s="40" t="s">
        <v>129</v>
      </c>
      <c r="E6" s="40" t="s">
        <v>130</v>
      </c>
      <c r="F6" s="40" t="s">
        <v>131</v>
      </c>
      <c r="G6" s="40"/>
      <c r="H6" s="785" t="s">
        <v>132</v>
      </c>
    </row>
    <row r="7" spans="1:8" ht="18" customHeight="1">
      <c r="A7" s="38">
        <v>1</v>
      </c>
      <c r="B7" s="41" t="s">
        <v>8</v>
      </c>
      <c r="C7" s="42" t="s">
        <v>133</v>
      </c>
      <c r="D7" s="43" t="s">
        <v>134</v>
      </c>
      <c r="E7" s="44">
        <v>50000</v>
      </c>
      <c r="F7" s="45">
        <v>6</v>
      </c>
      <c r="G7" s="50"/>
      <c r="H7" s="786">
        <v>300000</v>
      </c>
    </row>
    <row r="8" spans="1:8" ht="49.5" customHeight="1">
      <c r="A8" s="47">
        <v>2</v>
      </c>
      <c r="B8" s="39" t="s">
        <v>173</v>
      </c>
      <c r="C8" s="42" t="s">
        <v>136</v>
      </c>
      <c r="D8" s="46">
        <v>1</v>
      </c>
      <c r="E8" s="44">
        <v>40000</v>
      </c>
      <c r="F8" s="46">
        <v>5</v>
      </c>
      <c r="G8" s="50"/>
      <c r="H8" s="786">
        <v>200000</v>
      </c>
    </row>
    <row r="9" spans="1:8" s="49" customFormat="1" ht="31.5" customHeight="1">
      <c r="A9" s="38">
        <v>3</v>
      </c>
      <c r="B9" s="39" t="s">
        <v>174</v>
      </c>
      <c r="C9" s="42" t="s">
        <v>136</v>
      </c>
      <c r="D9" s="46">
        <v>1</v>
      </c>
      <c r="E9" s="44">
        <v>40000</v>
      </c>
      <c r="F9" s="46">
        <v>5</v>
      </c>
      <c r="G9" s="70"/>
      <c r="H9" s="786">
        <v>200000</v>
      </c>
    </row>
    <row r="10" spans="1:8" s="49" customFormat="1" ht="32.450000000000003" customHeight="1">
      <c r="A10" s="38">
        <v>4</v>
      </c>
      <c r="B10" s="39" t="s">
        <v>175</v>
      </c>
      <c r="C10" s="42" t="s">
        <v>136</v>
      </c>
      <c r="D10" s="46">
        <v>1</v>
      </c>
      <c r="E10" s="44">
        <v>40000</v>
      </c>
      <c r="F10" s="46">
        <v>5</v>
      </c>
      <c r="G10" s="70"/>
      <c r="H10" s="786">
        <v>200000</v>
      </c>
    </row>
    <row r="11" spans="1:8" ht="18" customHeight="1">
      <c r="A11" s="47">
        <v>5</v>
      </c>
      <c r="B11" s="41" t="s">
        <v>139</v>
      </c>
      <c r="C11" s="42" t="s">
        <v>140</v>
      </c>
      <c r="D11" s="46">
        <v>1</v>
      </c>
      <c r="E11" s="44">
        <v>15000</v>
      </c>
      <c r="F11" s="45">
        <v>8</v>
      </c>
      <c r="G11" s="50"/>
      <c r="H11" s="786">
        <v>125000</v>
      </c>
    </row>
    <row r="12" spans="1:8" ht="18" customHeight="1">
      <c r="A12" s="38">
        <v>6</v>
      </c>
      <c r="B12" s="41" t="s">
        <v>9</v>
      </c>
      <c r="C12" s="42" t="s">
        <v>176</v>
      </c>
      <c r="D12" s="46">
        <v>1</v>
      </c>
      <c r="E12" s="44">
        <v>18000</v>
      </c>
      <c r="F12" s="45">
        <v>9</v>
      </c>
      <c r="G12" s="50"/>
      <c r="H12" s="786">
        <v>162000</v>
      </c>
    </row>
    <row r="13" spans="1:8" ht="18" customHeight="1">
      <c r="A13" s="38">
        <v>7</v>
      </c>
      <c r="B13" s="41" t="s">
        <v>142</v>
      </c>
      <c r="C13" s="42" t="s">
        <v>176</v>
      </c>
      <c r="D13" s="46">
        <v>2</v>
      </c>
      <c r="E13" s="44">
        <v>18000</v>
      </c>
      <c r="F13" s="45">
        <v>8</v>
      </c>
      <c r="G13" s="50"/>
      <c r="H13" s="786">
        <v>288000</v>
      </c>
    </row>
    <row r="14" spans="1:8" ht="18.75" customHeight="1" thickBot="1">
      <c r="A14" s="38"/>
      <c r="B14" s="41"/>
      <c r="C14" s="41"/>
      <c r="D14" s="50"/>
      <c r="E14" s="50"/>
      <c r="F14" s="50"/>
      <c r="G14" s="51" t="s">
        <v>1</v>
      </c>
      <c r="H14" s="787">
        <f>SUM(H7:H13)</f>
        <v>1475000</v>
      </c>
    </row>
    <row r="15" spans="1:8" ht="20.25" customHeight="1" thickTop="1">
      <c r="A15" s="36"/>
      <c r="B15" s="68" t="s">
        <v>1928</v>
      </c>
      <c r="C15" s="37"/>
      <c r="D15" s="37"/>
      <c r="E15" s="37"/>
      <c r="F15" s="37"/>
      <c r="G15" s="37"/>
      <c r="H15" s="784"/>
    </row>
    <row r="16" spans="1:8" ht="15" customHeight="1">
      <c r="A16" s="36"/>
      <c r="B16" s="68"/>
      <c r="C16" s="68"/>
      <c r="D16" s="43"/>
      <c r="E16" s="52" t="s">
        <v>143</v>
      </c>
      <c r="F16" s="52" t="s">
        <v>79</v>
      </c>
      <c r="G16" s="52" t="s">
        <v>144</v>
      </c>
      <c r="H16" s="788" t="s">
        <v>132</v>
      </c>
    </row>
    <row r="17" spans="1:8" ht="15" customHeight="1">
      <c r="A17" s="53">
        <v>1</v>
      </c>
      <c r="B17" s="41" t="s">
        <v>150</v>
      </c>
      <c r="C17" s="41"/>
      <c r="D17" s="54"/>
      <c r="E17" s="55"/>
      <c r="F17" s="55"/>
      <c r="G17" s="56"/>
      <c r="H17" s="789">
        <v>200000</v>
      </c>
    </row>
    <row r="18" spans="1:8" ht="15" customHeight="1">
      <c r="A18" s="47">
        <v>2</v>
      </c>
      <c r="B18" s="41" t="s">
        <v>151</v>
      </c>
      <c r="C18" s="41"/>
      <c r="D18" s="54"/>
      <c r="E18" s="55"/>
      <c r="F18" s="55"/>
      <c r="G18" s="56"/>
      <c r="H18" s="818">
        <v>200000</v>
      </c>
    </row>
    <row r="19" spans="1:8" ht="21" customHeight="1" thickBot="1">
      <c r="A19" s="57"/>
      <c r="C19" s="41"/>
      <c r="D19" s="50"/>
      <c r="E19" s="58"/>
      <c r="F19" s="58"/>
      <c r="G19" s="59" t="s">
        <v>1</v>
      </c>
      <c r="H19" s="791">
        <f>SUM(H17:H18)</f>
        <v>400000</v>
      </c>
    </row>
    <row r="20" spans="1:8" s="87" customFormat="1" ht="18" customHeight="1" thickTop="1">
      <c r="A20" s="60"/>
      <c r="B20" s="61"/>
      <c r="C20" s="61"/>
      <c r="D20" s="62"/>
      <c r="E20" s="62"/>
      <c r="F20" s="62"/>
      <c r="G20" s="62"/>
      <c r="H20" s="63"/>
    </row>
    <row r="21" spans="1:8" ht="15" customHeight="1">
      <c r="A21" s="88">
        <v>2</v>
      </c>
      <c r="B21" s="1414" t="s">
        <v>1929</v>
      </c>
      <c r="C21" s="1414"/>
      <c r="D21" s="1414"/>
      <c r="E21" s="1414"/>
      <c r="F21" s="1414"/>
      <c r="G21" s="1414"/>
      <c r="H21" s="1415"/>
    </row>
    <row r="22" spans="1:8" ht="15" customHeight="1">
      <c r="A22" s="36"/>
      <c r="B22" s="68"/>
      <c r="C22" s="68"/>
      <c r="D22" s="43"/>
      <c r="E22" s="52" t="s">
        <v>143</v>
      </c>
      <c r="F22" s="52" t="s">
        <v>79</v>
      </c>
      <c r="G22" s="52" t="s">
        <v>144</v>
      </c>
      <c r="H22" s="788" t="s">
        <v>132</v>
      </c>
    </row>
    <row r="23" spans="1:8" ht="15" customHeight="1">
      <c r="A23" s="53">
        <v>1</v>
      </c>
      <c r="B23" s="41" t="s">
        <v>153</v>
      </c>
      <c r="C23" s="41"/>
      <c r="D23" s="54"/>
      <c r="E23" s="44">
        <v>4000</v>
      </c>
      <c r="F23" s="44">
        <v>1</v>
      </c>
      <c r="G23" s="46" t="s">
        <v>146</v>
      </c>
      <c r="H23" s="792">
        <v>4000</v>
      </c>
    </row>
    <row r="24" spans="1:8" ht="15" customHeight="1">
      <c r="A24" s="800">
        <v>2</v>
      </c>
      <c r="B24" s="801" t="s">
        <v>154</v>
      </c>
      <c r="C24" s="801"/>
      <c r="D24" s="802"/>
      <c r="E24" s="803">
        <v>600</v>
      </c>
      <c r="F24" s="803">
        <v>30</v>
      </c>
      <c r="G24" s="804" t="s">
        <v>148</v>
      </c>
      <c r="H24" s="814">
        <f>E24*F24</f>
        <v>18000</v>
      </c>
    </row>
    <row r="25" spans="1:8" ht="15" customHeight="1">
      <c r="A25" s="805">
        <v>3</v>
      </c>
      <c r="B25" s="806" t="s">
        <v>155</v>
      </c>
      <c r="C25" s="806"/>
      <c r="D25" s="807"/>
      <c r="E25" s="808">
        <v>1200</v>
      </c>
      <c r="F25" s="808">
        <v>7</v>
      </c>
      <c r="G25" s="809" t="s">
        <v>156</v>
      </c>
      <c r="H25" s="815">
        <v>8400</v>
      </c>
    </row>
    <row r="26" spans="1:8" ht="15" customHeight="1">
      <c r="A26" s="810">
        <v>4</v>
      </c>
      <c r="B26" s="801" t="s">
        <v>177</v>
      </c>
      <c r="C26" s="801"/>
      <c r="D26" s="802"/>
      <c r="E26" s="803">
        <v>100</v>
      </c>
      <c r="F26" s="803">
        <v>30</v>
      </c>
      <c r="G26" s="804" t="s">
        <v>148</v>
      </c>
      <c r="H26" s="816">
        <f>F26*E26</f>
        <v>3000</v>
      </c>
    </row>
    <row r="27" spans="1:8" ht="15" customHeight="1" thickBot="1">
      <c r="A27" s="53"/>
      <c r="B27" s="41"/>
      <c r="C27" s="41"/>
      <c r="D27" s="50"/>
      <c r="E27" s="50"/>
      <c r="F27" s="50"/>
      <c r="G27" s="69" t="s">
        <v>1</v>
      </c>
      <c r="H27" s="793">
        <f>SUM(H23:H26)</f>
        <v>33400</v>
      </c>
    </row>
    <row r="28" spans="1:8" ht="15" customHeight="1" thickTop="1">
      <c r="A28" s="53"/>
      <c r="B28" s="41"/>
      <c r="C28" s="41"/>
      <c r="D28" s="50"/>
      <c r="E28" s="50"/>
      <c r="F28" s="50"/>
      <c r="G28" s="69"/>
      <c r="H28" s="817"/>
    </row>
    <row r="29" spans="1:8" s="62" customFormat="1" ht="18" customHeight="1">
      <c r="A29" s="72"/>
      <c r="B29" s="73"/>
      <c r="C29" s="73"/>
      <c r="D29" s="74"/>
      <c r="E29" s="74"/>
      <c r="F29" s="74"/>
      <c r="G29" s="74"/>
      <c r="H29" s="75"/>
    </row>
    <row r="30" spans="1:8" s="87" customFormat="1" ht="24" customHeight="1">
      <c r="A30" s="88"/>
      <c r="B30" s="89" t="s">
        <v>1930</v>
      </c>
      <c r="C30" s="90"/>
      <c r="D30" s="91"/>
      <c r="E30" s="91"/>
      <c r="F30" s="91"/>
      <c r="G30" s="91"/>
      <c r="H30" s="92"/>
    </row>
    <row r="31" spans="1:8" ht="15" customHeight="1">
      <c r="A31" s="38"/>
      <c r="B31" s="41"/>
      <c r="C31" s="41"/>
      <c r="D31" s="70"/>
      <c r="E31" s="76" t="s">
        <v>143</v>
      </c>
      <c r="F31" s="76" t="s">
        <v>79</v>
      </c>
      <c r="G31" s="76" t="s">
        <v>144</v>
      </c>
      <c r="H31" s="797" t="s">
        <v>132</v>
      </c>
    </row>
    <row r="32" spans="1:8" ht="13.5" customHeight="1">
      <c r="A32" s="38">
        <v>1</v>
      </c>
      <c r="B32" s="41" t="s">
        <v>159</v>
      </c>
      <c r="C32" s="41"/>
      <c r="D32" s="70"/>
      <c r="E32" s="44">
        <v>20000</v>
      </c>
      <c r="F32" s="46">
        <v>1</v>
      </c>
      <c r="G32" s="46" t="s">
        <v>146</v>
      </c>
      <c r="H32" s="794">
        <v>20000</v>
      </c>
    </row>
    <row r="33" spans="1:8" ht="15" customHeight="1">
      <c r="A33" s="38">
        <v>2</v>
      </c>
      <c r="B33" s="41" t="s">
        <v>160</v>
      </c>
      <c r="C33" s="41"/>
      <c r="D33" s="70"/>
      <c r="E33" s="46">
        <v>600</v>
      </c>
      <c r="F33" s="46">
        <v>200</v>
      </c>
      <c r="G33" s="46" t="s">
        <v>148</v>
      </c>
      <c r="H33" s="794">
        <v>120000</v>
      </c>
    </row>
    <row r="34" spans="1:8" ht="15" customHeight="1">
      <c r="A34" s="38">
        <v>3</v>
      </c>
      <c r="B34" s="41" t="s">
        <v>161</v>
      </c>
      <c r="C34" s="41"/>
      <c r="D34" s="70"/>
      <c r="E34" s="46">
        <v>1200</v>
      </c>
      <c r="F34" s="46">
        <v>7</v>
      </c>
      <c r="G34" s="46" t="s">
        <v>156</v>
      </c>
      <c r="H34" s="794">
        <v>8400</v>
      </c>
    </row>
    <row r="35" spans="1:8" ht="15" customHeight="1">
      <c r="A35" s="38">
        <v>4</v>
      </c>
      <c r="B35" s="41" t="s">
        <v>162</v>
      </c>
      <c r="C35" s="41"/>
      <c r="D35" s="70"/>
      <c r="E35" s="46">
        <v>150</v>
      </c>
      <c r="F35" s="46">
        <v>200</v>
      </c>
      <c r="G35" s="46" t="s">
        <v>148</v>
      </c>
      <c r="H35" s="794">
        <v>30000</v>
      </c>
    </row>
    <row r="36" spans="1:8" s="62" customFormat="1" ht="14.45" customHeight="1">
      <c r="A36" s="38">
        <v>5</v>
      </c>
      <c r="B36" s="41" t="s">
        <v>163</v>
      </c>
      <c r="C36" s="41"/>
      <c r="D36" s="70"/>
      <c r="E36" s="70"/>
      <c r="F36" s="70"/>
      <c r="G36" s="70"/>
      <c r="H36" s="794">
        <v>2200</v>
      </c>
    </row>
    <row r="37" spans="1:8" ht="15" customHeight="1" thickBot="1">
      <c r="A37" s="38"/>
      <c r="B37" s="41"/>
      <c r="C37" s="41"/>
      <c r="D37" s="70"/>
      <c r="E37" s="70"/>
      <c r="F37" s="70"/>
      <c r="G37" s="71" t="s">
        <v>1</v>
      </c>
      <c r="H37" s="811">
        <f>SUM(H32:H36)</f>
        <v>180600</v>
      </c>
    </row>
    <row r="38" spans="1:8" ht="15" customHeight="1" thickTop="1">
      <c r="A38" s="38"/>
      <c r="B38" s="41"/>
      <c r="C38" s="41"/>
      <c r="D38" s="70"/>
      <c r="E38" s="70"/>
      <c r="F38" s="70"/>
      <c r="G38" s="71"/>
      <c r="H38" s="812"/>
    </row>
    <row r="39" spans="1:8" ht="18" customHeight="1">
      <c r="A39" s="81"/>
      <c r="B39" s="73"/>
      <c r="C39" s="73"/>
      <c r="D39" s="82"/>
      <c r="E39" s="82"/>
      <c r="F39" s="82"/>
      <c r="G39" s="82"/>
      <c r="H39" s="83"/>
    </row>
    <row r="40" spans="1:8" ht="15" customHeight="1">
      <c r="A40" s="88"/>
      <c r="B40" s="89" t="s">
        <v>1931</v>
      </c>
      <c r="C40" s="90"/>
      <c r="D40" s="91"/>
      <c r="E40" s="91"/>
      <c r="F40" s="91"/>
      <c r="G40" s="91"/>
      <c r="H40" s="92"/>
    </row>
    <row r="41" spans="1:8" ht="15" customHeight="1">
      <c r="A41" s="38"/>
      <c r="B41" s="41"/>
      <c r="C41" s="41"/>
      <c r="D41" s="70"/>
      <c r="E41" s="76" t="s">
        <v>143</v>
      </c>
      <c r="F41" s="76"/>
      <c r="G41" s="76"/>
      <c r="H41" s="797" t="s">
        <v>132</v>
      </c>
    </row>
    <row r="42" spans="1:8" ht="15" customHeight="1">
      <c r="A42" s="38">
        <v>1</v>
      </c>
      <c r="B42" s="70" t="s">
        <v>178</v>
      </c>
      <c r="C42" s="41"/>
      <c r="D42" s="70"/>
      <c r="E42" s="44">
        <v>180000</v>
      </c>
      <c r="F42" s="46"/>
      <c r="G42" s="46"/>
      <c r="H42" s="813">
        <v>180000</v>
      </c>
    </row>
    <row r="43" spans="1:8" ht="15" customHeight="1">
      <c r="A43" s="38">
        <v>2</v>
      </c>
      <c r="B43" s="41" t="s">
        <v>179</v>
      </c>
      <c r="C43" s="41"/>
      <c r="D43" s="70"/>
      <c r="E43" s="44">
        <v>150000</v>
      </c>
      <c r="F43" s="46"/>
      <c r="G43" s="46"/>
      <c r="H43" s="813">
        <v>150000</v>
      </c>
    </row>
    <row r="44" spans="1:8" ht="15" customHeight="1">
      <c r="A44" s="38">
        <v>3</v>
      </c>
      <c r="B44" s="41" t="s">
        <v>180</v>
      </c>
      <c r="C44" s="41"/>
      <c r="D44" s="70"/>
      <c r="E44" s="44">
        <v>100000</v>
      </c>
      <c r="F44" s="70"/>
      <c r="G44" s="70"/>
      <c r="H44" s="813">
        <v>100000</v>
      </c>
    </row>
    <row r="45" spans="1:8" ht="15" customHeight="1">
      <c r="A45" s="38">
        <v>4</v>
      </c>
      <c r="B45" s="41" t="s">
        <v>181</v>
      </c>
      <c r="C45" s="41"/>
      <c r="D45" s="70"/>
      <c r="E45" s="44">
        <v>400000</v>
      </c>
      <c r="F45" s="70"/>
      <c r="G45" s="70"/>
      <c r="H45" s="813">
        <v>400000</v>
      </c>
    </row>
    <row r="46" spans="1:8" s="80" customFormat="1" ht="15" customHeight="1" thickBot="1">
      <c r="A46" s="38"/>
      <c r="B46" s="41"/>
      <c r="C46" s="41"/>
      <c r="D46" s="70"/>
      <c r="E46" s="70"/>
      <c r="F46" s="70"/>
      <c r="G46" s="71" t="s">
        <v>1</v>
      </c>
      <c r="H46" s="811">
        <f>SUM(H42:H45)</f>
        <v>830000</v>
      </c>
    </row>
    <row r="47" spans="1:8" s="80" customFormat="1" ht="15" customHeight="1" thickTop="1">
      <c r="A47" s="81"/>
      <c r="B47" s="73"/>
      <c r="C47" s="73"/>
      <c r="D47" s="82"/>
      <c r="E47" s="82"/>
      <c r="F47" s="82"/>
      <c r="G47" s="82"/>
      <c r="H47" s="83"/>
    </row>
    <row r="48" spans="1:8" ht="15" customHeight="1">
      <c r="A48" s="88"/>
      <c r="B48" s="89" t="s">
        <v>182</v>
      </c>
      <c r="C48" s="90"/>
      <c r="D48" s="91"/>
      <c r="E48" s="91"/>
      <c r="F48" s="91"/>
      <c r="G48" s="91"/>
      <c r="H48" s="92"/>
    </row>
    <row r="49" spans="1:8" s="62" customFormat="1" ht="15" customHeight="1">
      <c r="A49" s="38"/>
      <c r="B49" s="41"/>
      <c r="C49" s="41"/>
      <c r="D49" s="70"/>
      <c r="E49" s="76" t="s">
        <v>143</v>
      </c>
      <c r="F49" s="76" t="s">
        <v>79</v>
      </c>
      <c r="G49" s="76" t="s">
        <v>144</v>
      </c>
      <c r="H49" s="797" t="s">
        <v>132</v>
      </c>
    </row>
    <row r="50" spans="1:8" ht="20.25" customHeight="1">
      <c r="A50" s="38">
        <v>1</v>
      </c>
      <c r="B50" s="41" t="s">
        <v>164</v>
      </c>
      <c r="C50" s="41"/>
      <c r="D50" s="70"/>
      <c r="E50" s="46">
        <v>100</v>
      </c>
      <c r="F50" s="46">
        <v>10</v>
      </c>
      <c r="G50" s="46" t="s">
        <v>165</v>
      </c>
      <c r="H50" s="794">
        <v>1000</v>
      </c>
    </row>
    <row r="51" spans="1:8" ht="15" customHeight="1">
      <c r="A51" s="38">
        <v>2</v>
      </c>
      <c r="B51" s="41" t="s">
        <v>166</v>
      </c>
      <c r="C51" s="41"/>
      <c r="D51" s="70"/>
      <c r="E51" s="46">
        <v>300</v>
      </c>
      <c r="F51" s="46">
        <v>10</v>
      </c>
      <c r="G51" s="46" t="s">
        <v>165</v>
      </c>
      <c r="H51" s="794">
        <v>3000</v>
      </c>
    </row>
    <row r="52" spans="1:8" ht="15.75">
      <c r="A52" s="38">
        <v>3</v>
      </c>
      <c r="B52" s="41" t="s">
        <v>167</v>
      </c>
      <c r="C52" s="41"/>
      <c r="D52" s="70"/>
      <c r="E52" s="46">
        <v>300</v>
      </c>
      <c r="F52" s="46">
        <v>10</v>
      </c>
      <c r="G52" s="46" t="s">
        <v>165</v>
      </c>
      <c r="H52" s="794">
        <v>3000</v>
      </c>
    </row>
    <row r="53" spans="1:8" ht="15.75">
      <c r="A53" s="38">
        <v>4</v>
      </c>
      <c r="B53" s="41" t="s">
        <v>168</v>
      </c>
      <c r="C53" s="41"/>
      <c r="D53" s="70"/>
      <c r="E53" s="46">
        <v>400</v>
      </c>
      <c r="F53" s="46">
        <v>10</v>
      </c>
      <c r="G53" s="46" t="s">
        <v>165</v>
      </c>
      <c r="H53" s="794">
        <v>4000</v>
      </c>
    </row>
    <row r="54" spans="1:8" ht="15.75">
      <c r="A54" s="38">
        <v>5</v>
      </c>
      <c r="B54" s="41" t="s">
        <v>169</v>
      </c>
      <c r="C54" s="41"/>
      <c r="D54" s="70"/>
      <c r="E54" s="46">
        <v>500</v>
      </c>
      <c r="F54" s="46">
        <v>10</v>
      </c>
      <c r="G54" s="46" t="s">
        <v>165</v>
      </c>
      <c r="H54" s="794">
        <v>5000</v>
      </c>
    </row>
    <row r="55" spans="1:8" ht="15.75">
      <c r="A55" s="77">
        <v>6</v>
      </c>
      <c r="B55" s="78" t="s">
        <v>183</v>
      </c>
      <c r="C55" s="78"/>
      <c r="D55" s="79"/>
      <c r="E55" s="56">
        <v>300</v>
      </c>
      <c r="F55" s="56">
        <v>50</v>
      </c>
      <c r="G55" s="56" t="s">
        <v>165</v>
      </c>
      <c r="H55" s="795">
        <v>15000</v>
      </c>
    </row>
    <row r="56" spans="1:8" ht="15.75">
      <c r="A56" s="38">
        <v>7</v>
      </c>
      <c r="B56" s="78" t="s">
        <v>184</v>
      </c>
      <c r="C56" s="78"/>
      <c r="D56" s="79"/>
      <c r="E56" s="56">
        <v>200</v>
      </c>
      <c r="F56" s="56">
        <v>250</v>
      </c>
      <c r="G56" s="56" t="s">
        <v>165</v>
      </c>
      <c r="H56" s="795">
        <v>50000</v>
      </c>
    </row>
    <row r="57" spans="1:8" ht="16.5" thickBot="1">
      <c r="A57" s="38"/>
      <c r="B57" s="41"/>
      <c r="C57" s="41"/>
      <c r="D57" s="70"/>
      <c r="E57" s="70"/>
      <c r="F57" s="70"/>
      <c r="G57" s="71" t="s">
        <v>1</v>
      </c>
      <c r="H57" s="811">
        <f>SUM(H50:H56)</f>
        <v>81000</v>
      </c>
    </row>
    <row r="58" spans="1:8" ht="16.5" thickTop="1">
      <c r="A58" s="81"/>
      <c r="B58" s="73"/>
      <c r="C58" s="73"/>
      <c r="D58" s="82"/>
      <c r="E58" s="82"/>
      <c r="F58" s="82"/>
      <c r="G58" s="82"/>
      <c r="H58" s="83"/>
    </row>
    <row r="59" spans="1:8" ht="15.75">
      <c r="A59" s="45"/>
      <c r="B59" s="41"/>
      <c r="C59" s="41"/>
      <c r="D59" s="50"/>
      <c r="E59" s="50"/>
      <c r="F59" s="50"/>
      <c r="G59" s="84" t="s">
        <v>171</v>
      </c>
      <c r="H59" s="93">
        <f>SUM(H14,H19,H27,H37,H46,H57)</f>
        <v>3000000</v>
      </c>
    </row>
    <row r="60" spans="1:8" ht="15.75">
      <c r="A60" s="45"/>
      <c r="B60" s="41"/>
      <c r="C60" s="41"/>
      <c r="D60" s="50"/>
      <c r="E60" s="50"/>
      <c r="F60" s="50"/>
      <c r="G60" s="50"/>
      <c r="H60" s="50"/>
    </row>
    <row r="61" spans="1:8">
      <c r="H61" s="86"/>
    </row>
  </sheetData>
  <mergeCells count="5">
    <mergeCell ref="A1:H1"/>
    <mergeCell ref="A2:H2"/>
    <mergeCell ref="A3:H3"/>
    <mergeCell ref="B4:H4"/>
    <mergeCell ref="B21:H21"/>
  </mergeCells>
  <pageMargins left="0.7" right="0.2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30"/>
  <sheetViews>
    <sheetView workbookViewId="0"/>
  </sheetViews>
  <sheetFormatPr defaultColWidth="9.125" defaultRowHeight="21"/>
  <cols>
    <col min="1" max="1" width="5.875" style="905" customWidth="1"/>
    <col min="2" max="2" width="82.125" style="905" customWidth="1"/>
    <col min="3" max="3" width="15.375" style="929" customWidth="1"/>
    <col min="4" max="16384" width="9.125" style="905"/>
  </cols>
  <sheetData>
    <row r="1" spans="1:9">
      <c r="A1" s="902" t="s">
        <v>1105</v>
      </c>
      <c r="B1" s="902"/>
      <c r="C1" s="903"/>
      <c r="D1" s="904"/>
      <c r="E1" s="904"/>
      <c r="F1" s="904"/>
      <c r="G1" s="904"/>
      <c r="H1" s="904"/>
      <c r="I1" s="904"/>
    </row>
    <row r="2" spans="1:9">
      <c r="A2" s="1416" t="s">
        <v>1654</v>
      </c>
      <c r="B2" s="1416"/>
      <c r="C2" s="903"/>
      <c r="D2" s="904"/>
      <c r="E2" s="904"/>
      <c r="F2" s="904"/>
      <c r="G2" s="904"/>
      <c r="H2" s="904"/>
      <c r="I2" s="904"/>
    </row>
    <row r="3" spans="1:9">
      <c r="A3" s="904"/>
      <c r="B3" s="904"/>
      <c r="C3" s="903"/>
      <c r="D3" s="904"/>
      <c r="E3" s="904"/>
      <c r="F3" s="904"/>
      <c r="G3" s="904"/>
      <c r="H3" s="904"/>
      <c r="I3" s="904"/>
    </row>
    <row r="4" spans="1:9">
      <c r="A4" s="906"/>
      <c r="B4" s="907" t="s">
        <v>0</v>
      </c>
      <c r="C4" s="1085" t="s">
        <v>1</v>
      </c>
      <c r="D4" s="904"/>
      <c r="E4" s="904"/>
      <c r="F4" s="904"/>
      <c r="G4" s="904"/>
      <c r="H4" s="904"/>
      <c r="I4" s="904"/>
    </row>
    <row r="5" spans="1:9">
      <c r="A5" s="909"/>
      <c r="B5" s="1086" t="s">
        <v>1655</v>
      </c>
      <c r="C5" s="1087" t="s">
        <v>2</v>
      </c>
      <c r="D5" s="904"/>
      <c r="E5" s="904"/>
      <c r="F5" s="904"/>
      <c r="G5" s="904"/>
      <c r="H5" s="904"/>
      <c r="I5" s="904"/>
    </row>
    <row r="6" spans="1:9">
      <c r="A6" s="912">
        <v>1.1000000000000001</v>
      </c>
      <c r="B6" s="1088" t="s">
        <v>3</v>
      </c>
      <c r="C6" s="927">
        <f>SUM(C7:C9)</f>
        <v>897000</v>
      </c>
    </row>
    <row r="7" spans="1:9" ht="63">
      <c r="A7" s="1089"/>
      <c r="B7" s="1357" t="s">
        <v>1913</v>
      </c>
      <c r="C7" s="1090">
        <v>74500</v>
      </c>
    </row>
    <row r="8" spans="1:9" ht="63">
      <c r="A8" s="1091"/>
      <c r="B8" s="1357" t="s">
        <v>1914</v>
      </c>
      <c r="C8" s="1090">
        <v>72500</v>
      </c>
    </row>
    <row r="9" spans="1:9" ht="63">
      <c r="A9" s="1091"/>
      <c r="B9" s="1357" t="s">
        <v>1915</v>
      </c>
      <c r="C9" s="1090">
        <v>750000</v>
      </c>
    </row>
    <row r="10" spans="1:9">
      <c r="A10" s="1091"/>
      <c r="B10" s="1092" t="s">
        <v>1051</v>
      </c>
      <c r="C10" s="1093">
        <f>SUM(C11)</f>
        <v>105000</v>
      </c>
    </row>
    <row r="11" spans="1:9">
      <c r="A11" s="1091"/>
      <c r="B11" s="1094" t="s">
        <v>1656</v>
      </c>
      <c r="C11" s="1090">
        <v>105000</v>
      </c>
    </row>
    <row r="12" spans="1:9">
      <c r="A12" s="925">
        <v>1.2</v>
      </c>
      <c r="B12" s="1095" t="s">
        <v>1657</v>
      </c>
      <c r="C12" s="1093">
        <f>SUM(C13:C16)</f>
        <v>2913200</v>
      </c>
    </row>
    <row r="13" spans="1:9">
      <c r="A13" s="1091"/>
      <c r="B13" s="1096" t="s">
        <v>1658</v>
      </c>
      <c r="C13" s="1090">
        <v>241200</v>
      </c>
    </row>
    <row r="14" spans="1:9">
      <c r="A14" s="1091"/>
      <c r="B14" s="1096" t="s">
        <v>1659</v>
      </c>
      <c r="C14" s="1090">
        <v>1800000</v>
      </c>
    </row>
    <row r="15" spans="1:9">
      <c r="A15" s="1091"/>
      <c r="B15" s="1096" t="s">
        <v>1660</v>
      </c>
      <c r="C15" s="1090">
        <v>800000</v>
      </c>
    </row>
    <row r="16" spans="1:9">
      <c r="A16" s="1091"/>
      <c r="B16" s="1096" t="s">
        <v>1661</v>
      </c>
      <c r="C16" s="1090">
        <v>72000</v>
      </c>
    </row>
    <row r="17" spans="1:3">
      <c r="A17" s="925">
        <v>1.3</v>
      </c>
      <c r="B17" s="1095" t="s">
        <v>1662</v>
      </c>
      <c r="C17" s="1093">
        <f>SUM(C18:C21)</f>
        <v>68600</v>
      </c>
    </row>
    <row r="18" spans="1:3">
      <c r="A18" s="1091"/>
      <c r="B18" s="1096" t="s">
        <v>1663</v>
      </c>
      <c r="C18" s="1090">
        <v>15000</v>
      </c>
    </row>
    <row r="19" spans="1:3">
      <c r="A19" s="1091"/>
      <c r="B19" s="1096" t="s">
        <v>1664</v>
      </c>
      <c r="C19" s="1090">
        <v>1500</v>
      </c>
    </row>
    <row r="20" spans="1:3">
      <c r="A20" s="1091"/>
      <c r="B20" s="1096" t="s">
        <v>1665</v>
      </c>
      <c r="C20" s="1090">
        <v>2100</v>
      </c>
    </row>
    <row r="21" spans="1:3">
      <c r="A21" s="1097"/>
      <c r="B21" s="1096" t="s">
        <v>1666</v>
      </c>
      <c r="C21" s="1090">
        <v>50000</v>
      </c>
    </row>
    <row r="22" spans="1:3">
      <c r="A22" s="912">
        <v>1.4</v>
      </c>
      <c r="B22" s="1095" t="s">
        <v>1042</v>
      </c>
      <c r="C22" s="1093">
        <f>SUM(C23:C26)</f>
        <v>16200</v>
      </c>
    </row>
    <row r="23" spans="1:3">
      <c r="A23" s="1091"/>
      <c r="B23" s="1096" t="s">
        <v>1667</v>
      </c>
      <c r="C23" s="1090">
        <v>2400</v>
      </c>
    </row>
    <row r="24" spans="1:3">
      <c r="A24" s="1091"/>
      <c r="B24" s="1096" t="s">
        <v>1668</v>
      </c>
      <c r="C24" s="1090">
        <v>3000</v>
      </c>
    </row>
    <row r="25" spans="1:3">
      <c r="A25" s="1091"/>
      <c r="B25" s="1096" t="s">
        <v>1669</v>
      </c>
      <c r="C25" s="1090">
        <v>4800</v>
      </c>
    </row>
    <row r="26" spans="1:3">
      <c r="A26" s="1091"/>
      <c r="B26" s="1096" t="s">
        <v>1670</v>
      </c>
      <c r="C26" s="1090">
        <v>6000</v>
      </c>
    </row>
    <row r="27" spans="1:3">
      <c r="A27" s="1091"/>
      <c r="B27" s="922"/>
      <c r="C27" s="923"/>
    </row>
    <row r="28" spans="1:3">
      <c r="A28" s="925"/>
      <c r="B28" s="924" t="s">
        <v>1330</v>
      </c>
      <c r="C28" s="914">
        <f>C6+C10+C12+C17+C22</f>
        <v>4000000</v>
      </c>
    </row>
    <row r="29" spans="1:3">
      <c r="A29" s="925"/>
      <c r="B29" s="1098" t="s">
        <v>1671</v>
      </c>
      <c r="C29" s="914"/>
    </row>
    <row r="30" spans="1:3">
      <c r="C30" s="928"/>
    </row>
  </sheetData>
  <mergeCells count="1"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82"/>
  <sheetViews>
    <sheetView workbookViewId="0">
      <selection sqref="A1:C1"/>
    </sheetView>
  </sheetViews>
  <sheetFormatPr defaultColWidth="9" defaultRowHeight="18.75"/>
  <cols>
    <col min="1" max="1" width="5.375" style="836" customWidth="1"/>
    <col min="2" max="2" width="70.875" style="94" customWidth="1"/>
    <col min="3" max="3" width="21.625" style="140" customWidth="1"/>
    <col min="4" max="16384" width="9" style="94"/>
  </cols>
  <sheetData>
    <row r="1" spans="1:4" ht="21">
      <c r="A1" s="1367" t="s">
        <v>1105</v>
      </c>
      <c r="B1" s="1367"/>
      <c r="C1" s="1367"/>
    </row>
    <row r="2" spans="1:4" ht="21">
      <c r="A2" s="1368" t="s">
        <v>1076</v>
      </c>
      <c r="B2" s="1368"/>
      <c r="C2" s="1368"/>
    </row>
    <row r="3" spans="1:4" ht="21.75" thickBot="1">
      <c r="A3" s="867"/>
      <c r="B3" s="867"/>
      <c r="C3" s="868"/>
    </row>
    <row r="4" spans="1:4" s="836" customFormat="1">
      <c r="A4" s="95"/>
      <c r="B4" s="95" t="s">
        <v>1106</v>
      </c>
      <c r="C4" s="838" t="s">
        <v>1</v>
      </c>
    </row>
    <row r="5" spans="1:4" ht="38.25" thickBot="1">
      <c r="A5" s="839"/>
      <c r="B5" s="840" t="s">
        <v>1107</v>
      </c>
      <c r="C5" s="841" t="s">
        <v>2</v>
      </c>
    </row>
    <row r="6" spans="1:4" ht="19.5" thickBot="1">
      <c r="A6" s="869">
        <v>1</v>
      </c>
      <c r="B6" s="870" t="s">
        <v>1108</v>
      </c>
      <c r="C6" s="871">
        <v>4336300.0199999996</v>
      </c>
      <c r="D6" s="97"/>
    </row>
    <row r="7" spans="1:4" s="101" customFormat="1" ht="23.25" customHeight="1">
      <c r="A7" s="98">
        <v>1.1000000000000001</v>
      </c>
      <c r="B7" s="99" t="s">
        <v>3</v>
      </c>
      <c r="C7" s="872">
        <v>3947160</v>
      </c>
    </row>
    <row r="8" spans="1:4" s="105" customFormat="1" ht="21">
      <c r="A8" s="102"/>
      <c r="B8" s="103" t="s">
        <v>1109</v>
      </c>
      <c r="C8" s="104">
        <v>316800</v>
      </c>
    </row>
    <row r="9" spans="1:4" s="105" customFormat="1" ht="21">
      <c r="A9" s="102"/>
      <c r="B9" s="103" t="s">
        <v>1110</v>
      </c>
      <c r="C9" s="104">
        <v>422400</v>
      </c>
    </row>
    <row r="10" spans="1:4" s="105" customFormat="1" ht="21">
      <c r="A10" s="102"/>
      <c r="B10" s="103" t="s">
        <v>1111</v>
      </c>
      <c r="C10" s="104">
        <v>1140480</v>
      </c>
    </row>
    <row r="11" spans="1:4" s="105" customFormat="1" ht="21">
      <c r="A11" s="102"/>
      <c r="B11" s="103" t="s">
        <v>1112</v>
      </c>
      <c r="C11" s="104">
        <v>1140480</v>
      </c>
    </row>
    <row r="12" spans="1:4" s="105" customFormat="1" ht="21">
      <c r="A12" s="102"/>
      <c r="B12" s="103" t="s">
        <v>1113</v>
      </c>
      <c r="C12" s="104">
        <v>792000</v>
      </c>
    </row>
    <row r="13" spans="1:4" s="105" customFormat="1" ht="21">
      <c r="A13" s="102"/>
      <c r="B13" s="103" t="s">
        <v>1114</v>
      </c>
      <c r="C13" s="104">
        <v>135000</v>
      </c>
    </row>
    <row r="14" spans="1:4" s="101" customFormat="1" ht="23.25" customHeight="1">
      <c r="A14" s="110">
        <v>1.2</v>
      </c>
      <c r="B14" s="111" t="s">
        <v>1115</v>
      </c>
      <c r="C14" s="113">
        <v>148500</v>
      </c>
    </row>
    <row r="15" spans="1:4" s="105" customFormat="1" ht="21">
      <c r="A15" s="102"/>
      <c r="B15" s="103" t="s">
        <v>1116</v>
      </c>
      <c r="C15" s="104">
        <v>25000</v>
      </c>
    </row>
    <row r="16" spans="1:4" s="105" customFormat="1" ht="21">
      <c r="A16" s="102"/>
      <c r="B16" s="103" t="s">
        <v>1117</v>
      </c>
      <c r="C16" s="104">
        <v>32500</v>
      </c>
    </row>
    <row r="17" spans="1:8" s="105" customFormat="1" ht="21">
      <c r="A17" s="102"/>
      <c r="B17" s="103" t="s">
        <v>1118</v>
      </c>
      <c r="C17" s="104">
        <v>10000</v>
      </c>
    </row>
    <row r="18" spans="1:8" s="105" customFormat="1" ht="21">
      <c r="A18" s="102"/>
      <c r="B18" s="103" t="s">
        <v>1119</v>
      </c>
      <c r="C18" s="104">
        <v>5000</v>
      </c>
    </row>
    <row r="19" spans="1:8" s="105" customFormat="1" ht="21">
      <c r="A19" s="102"/>
      <c r="B19" s="103" t="s">
        <v>1120</v>
      </c>
      <c r="C19" s="104">
        <v>40000</v>
      </c>
    </row>
    <row r="20" spans="1:8" s="105" customFormat="1" ht="21">
      <c r="A20" s="102"/>
      <c r="B20" s="103" t="s">
        <v>1121</v>
      </c>
      <c r="C20" s="104">
        <v>36000</v>
      </c>
    </row>
    <row r="21" spans="1:8" s="101" customFormat="1" ht="23.25" customHeight="1">
      <c r="A21" s="110">
        <v>1.3</v>
      </c>
      <c r="B21" s="116" t="s">
        <v>1122</v>
      </c>
      <c r="C21" s="113">
        <v>240640.02</v>
      </c>
      <c r="E21" s="114"/>
    </row>
    <row r="22" spans="1:8" s="105" customFormat="1" ht="21">
      <c r="A22" s="102"/>
      <c r="B22" s="103" t="s">
        <v>1123</v>
      </c>
      <c r="C22" s="104">
        <v>90000</v>
      </c>
    </row>
    <row r="23" spans="1:8" s="105" customFormat="1" ht="21">
      <c r="A23" s="102"/>
      <c r="B23" s="103" t="s">
        <v>1124</v>
      </c>
      <c r="C23" s="104">
        <v>90000</v>
      </c>
    </row>
    <row r="24" spans="1:8" s="105" customFormat="1" ht="21.75" thickBot="1">
      <c r="A24" s="102"/>
      <c r="B24" s="103" t="s">
        <v>1125</v>
      </c>
      <c r="C24" s="104">
        <v>60640.02</v>
      </c>
      <c r="E24" s="873"/>
      <c r="F24" s="873"/>
      <c r="H24" s="873"/>
    </row>
    <row r="25" spans="1:8" s="106" customFormat="1" ht="23.25" customHeight="1" thickBot="1">
      <c r="A25" s="869">
        <v>2</v>
      </c>
      <c r="B25" s="870" t="s">
        <v>1126</v>
      </c>
      <c r="C25" s="871">
        <v>65000</v>
      </c>
    </row>
    <row r="26" spans="1:8" s="101" customFormat="1" ht="23.25" customHeight="1">
      <c r="A26" s="110">
        <v>2.1</v>
      </c>
      <c r="B26" s="112" t="s">
        <v>1127</v>
      </c>
      <c r="C26" s="113">
        <v>65000</v>
      </c>
    </row>
    <row r="27" spans="1:8" s="105" customFormat="1" ht="21">
      <c r="A27" s="102"/>
      <c r="B27" s="103" t="s">
        <v>1128</v>
      </c>
      <c r="C27" s="104">
        <v>10000</v>
      </c>
    </row>
    <row r="28" spans="1:8" s="105" customFormat="1" ht="21">
      <c r="A28" s="102"/>
      <c r="B28" s="103" t="s">
        <v>1129</v>
      </c>
      <c r="C28" s="104">
        <v>35000</v>
      </c>
    </row>
    <row r="29" spans="1:8" s="105" customFormat="1" ht="21.75" thickBot="1">
      <c r="A29" s="102"/>
      <c r="B29" s="103" t="s">
        <v>1130</v>
      </c>
      <c r="C29" s="104">
        <v>20000</v>
      </c>
    </row>
    <row r="30" spans="1:8" s="106" customFormat="1" ht="23.25" customHeight="1" thickBot="1">
      <c r="A30" s="869">
        <v>3</v>
      </c>
      <c r="B30" s="870" t="s">
        <v>1131</v>
      </c>
      <c r="C30" s="871">
        <v>667500</v>
      </c>
    </row>
    <row r="31" spans="1:8" s="101" customFormat="1" ht="23.25" customHeight="1">
      <c r="A31" s="110">
        <v>3.1</v>
      </c>
      <c r="B31" s="112" t="s">
        <v>1132</v>
      </c>
      <c r="C31" s="113">
        <v>152500</v>
      </c>
    </row>
    <row r="32" spans="1:8" s="105" customFormat="1" ht="21">
      <c r="A32" s="102"/>
      <c r="B32" s="103" t="s">
        <v>1133</v>
      </c>
      <c r="C32" s="104">
        <v>10000</v>
      </c>
    </row>
    <row r="33" spans="1:3" s="105" customFormat="1" ht="21">
      <c r="A33" s="102"/>
      <c r="B33" s="103" t="s">
        <v>1134</v>
      </c>
      <c r="C33" s="104">
        <v>125000</v>
      </c>
    </row>
    <row r="34" spans="1:3" s="105" customFormat="1" ht="21">
      <c r="A34" s="102"/>
      <c r="B34" s="103" t="s">
        <v>1135</v>
      </c>
      <c r="C34" s="104">
        <v>17500</v>
      </c>
    </row>
    <row r="35" spans="1:3" s="101" customFormat="1" ht="23.25" customHeight="1">
      <c r="A35" s="110">
        <v>3.2</v>
      </c>
      <c r="B35" s="112" t="s">
        <v>1136</v>
      </c>
      <c r="C35" s="113">
        <v>515000</v>
      </c>
    </row>
    <row r="36" spans="1:3" s="105" customFormat="1" ht="21">
      <c r="A36" s="102"/>
      <c r="B36" s="103" t="s">
        <v>1137</v>
      </c>
      <c r="C36" s="104">
        <v>135000</v>
      </c>
    </row>
    <row r="37" spans="1:3" s="105" customFormat="1" ht="21">
      <c r="A37" s="102"/>
      <c r="B37" s="103" t="s">
        <v>1138</v>
      </c>
      <c r="C37" s="104">
        <v>30000</v>
      </c>
    </row>
    <row r="38" spans="1:3" s="105" customFormat="1" ht="21">
      <c r="A38" s="102"/>
      <c r="B38" s="103" t="s">
        <v>1139</v>
      </c>
      <c r="C38" s="104">
        <v>300000</v>
      </c>
    </row>
    <row r="39" spans="1:3" s="105" customFormat="1" ht="21.75" thickBot="1">
      <c r="A39" s="102"/>
      <c r="B39" s="103" t="s">
        <v>1140</v>
      </c>
      <c r="C39" s="104">
        <v>50000</v>
      </c>
    </row>
    <row r="40" spans="1:3" s="106" customFormat="1" ht="23.25" customHeight="1" thickBot="1">
      <c r="A40" s="869">
        <v>4</v>
      </c>
      <c r="B40" s="870" t="s">
        <v>1141</v>
      </c>
      <c r="C40" s="871">
        <v>4931200</v>
      </c>
    </row>
    <row r="41" spans="1:3" s="101" customFormat="1" ht="23.25" customHeight="1">
      <c r="A41" s="110">
        <v>4.0999999999999996</v>
      </c>
      <c r="B41" s="112" t="s">
        <v>1142</v>
      </c>
      <c r="C41" s="113">
        <v>4288400</v>
      </c>
    </row>
    <row r="42" spans="1:3" s="105" customFormat="1" ht="21">
      <c r="A42" s="102"/>
      <c r="B42" s="103" t="s">
        <v>1143</v>
      </c>
      <c r="C42" s="104">
        <v>432000</v>
      </c>
    </row>
    <row r="43" spans="1:3" s="105" customFormat="1" ht="21">
      <c r="A43" s="102"/>
      <c r="B43" s="103" t="s">
        <v>1144</v>
      </c>
      <c r="C43" s="104">
        <v>288000</v>
      </c>
    </row>
    <row r="44" spans="1:3" s="105" customFormat="1" ht="21">
      <c r="A44" s="102"/>
      <c r="B44" s="103" t="s">
        <v>1145</v>
      </c>
      <c r="C44" s="104">
        <v>19200</v>
      </c>
    </row>
    <row r="45" spans="1:3" s="105" customFormat="1" ht="21">
      <c r="A45" s="102"/>
      <c r="B45" s="103" t="s">
        <v>1146</v>
      </c>
      <c r="C45" s="104">
        <v>19200</v>
      </c>
    </row>
    <row r="46" spans="1:3" s="105" customFormat="1" ht="21">
      <c r="A46" s="102"/>
      <c r="B46" s="103" t="s">
        <v>1147</v>
      </c>
      <c r="C46" s="104">
        <v>76800</v>
      </c>
    </row>
    <row r="47" spans="1:3" s="105" customFormat="1" ht="21">
      <c r="A47" s="102"/>
      <c r="B47" s="103" t="s">
        <v>1148</v>
      </c>
      <c r="C47" s="104">
        <v>180000</v>
      </c>
    </row>
    <row r="48" spans="1:3" s="105" customFormat="1" ht="21">
      <c r="A48" s="102"/>
      <c r="B48" s="103" t="s">
        <v>1149</v>
      </c>
      <c r="C48" s="104">
        <v>180000</v>
      </c>
    </row>
    <row r="49" spans="1:3" s="105" customFormat="1" ht="21">
      <c r="A49" s="102"/>
      <c r="B49" s="103" t="s">
        <v>1150</v>
      </c>
      <c r="C49" s="104">
        <v>720000</v>
      </c>
    </row>
    <row r="50" spans="1:3" s="105" customFormat="1" ht="21">
      <c r="A50" s="102"/>
      <c r="B50" s="103" t="s">
        <v>1151</v>
      </c>
      <c r="C50" s="104">
        <v>43200</v>
      </c>
    </row>
    <row r="51" spans="1:3" s="105" customFormat="1" ht="21">
      <c r="A51" s="102"/>
      <c r="B51" s="103" t="s">
        <v>1152</v>
      </c>
      <c r="C51" s="104">
        <v>43200</v>
      </c>
    </row>
    <row r="52" spans="1:3" s="105" customFormat="1" ht="21">
      <c r="A52" s="102"/>
      <c r="B52" s="103" t="s">
        <v>1153</v>
      </c>
      <c r="C52" s="104">
        <v>172800</v>
      </c>
    </row>
    <row r="53" spans="1:3" s="105" customFormat="1" ht="21">
      <c r="A53" s="102"/>
      <c r="B53" s="103" t="s">
        <v>1154</v>
      </c>
      <c r="C53" s="104">
        <v>300000</v>
      </c>
    </row>
    <row r="54" spans="1:3" s="105" customFormat="1" ht="21">
      <c r="A54" s="102"/>
      <c r="B54" s="103" t="s">
        <v>1155</v>
      </c>
      <c r="C54" s="104">
        <v>1440000</v>
      </c>
    </row>
    <row r="55" spans="1:3" s="105" customFormat="1" ht="21">
      <c r="A55" s="102"/>
      <c r="B55" s="103" t="s">
        <v>1156</v>
      </c>
      <c r="C55" s="104">
        <v>4000</v>
      </c>
    </row>
    <row r="56" spans="1:3" s="105" customFormat="1" ht="21">
      <c r="A56" s="102"/>
      <c r="B56" s="103" t="s">
        <v>1157</v>
      </c>
      <c r="C56" s="104">
        <v>40000</v>
      </c>
    </row>
    <row r="57" spans="1:3" s="105" customFormat="1" ht="21">
      <c r="A57" s="102"/>
      <c r="B57" s="103" t="s">
        <v>1158</v>
      </c>
      <c r="C57" s="104">
        <v>300000</v>
      </c>
    </row>
    <row r="58" spans="1:3" s="105" customFormat="1" ht="21">
      <c r="A58" s="102"/>
      <c r="B58" s="103" t="s">
        <v>1159</v>
      </c>
      <c r="C58" s="104">
        <v>30000</v>
      </c>
    </row>
    <row r="59" spans="1:3" s="101" customFormat="1" ht="23.25" customHeight="1">
      <c r="A59" s="110">
        <v>4.2</v>
      </c>
      <c r="B59" s="112" t="s">
        <v>1160</v>
      </c>
      <c r="C59" s="113">
        <v>437000</v>
      </c>
    </row>
    <row r="60" spans="1:3" s="105" customFormat="1" ht="21">
      <c r="A60" s="102"/>
      <c r="B60" s="103" t="s">
        <v>1161</v>
      </c>
      <c r="C60" s="104">
        <v>50000</v>
      </c>
    </row>
    <row r="61" spans="1:3" s="105" customFormat="1" ht="21">
      <c r="A61" s="102"/>
      <c r="B61" s="103" t="s">
        <v>1162</v>
      </c>
      <c r="C61" s="104">
        <v>3200</v>
      </c>
    </row>
    <row r="62" spans="1:3" s="105" customFormat="1" ht="21">
      <c r="A62" s="102"/>
      <c r="B62" s="103" t="s">
        <v>1163</v>
      </c>
      <c r="C62" s="104">
        <v>12800</v>
      </c>
    </row>
    <row r="63" spans="1:3" s="105" customFormat="1" ht="21">
      <c r="A63" s="102"/>
      <c r="B63" s="103" t="s">
        <v>1164</v>
      </c>
      <c r="C63" s="104">
        <v>15000</v>
      </c>
    </row>
    <row r="64" spans="1:3" s="105" customFormat="1" ht="21">
      <c r="A64" s="102"/>
      <c r="B64" s="103" t="s">
        <v>1165</v>
      </c>
      <c r="C64" s="104">
        <v>60000</v>
      </c>
    </row>
    <row r="65" spans="1:3" s="105" customFormat="1" ht="21">
      <c r="A65" s="102"/>
      <c r="B65" s="103" t="s">
        <v>1166</v>
      </c>
      <c r="C65" s="104">
        <v>7200</v>
      </c>
    </row>
    <row r="66" spans="1:3" s="105" customFormat="1" ht="21">
      <c r="A66" s="102"/>
      <c r="B66" s="103" t="s">
        <v>1167</v>
      </c>
      <c r="C66" s="104">
        <v>28800</v>
      </c>
    </row>
    <row r="67" spans="1:3" s="105" customFormat="1" ht="21">
      <c r="A67" s="102"/>
      <c r="B67" s="103" t="s">
        <v>1168</v>
      </c>
      <c r="C67" s="104">
        <v>40000</v>
      </c>
    </row>
    <row r="68" spans="1:3" s="105" customFormat="1" ht="21">
      <c r="A68" s="102"/>
      <c r="B68" s="103" t="s">
        <v>1169</v>
      </c>
      <c r="C68" s="104">
        <v>180000</v>
      </c>
    </row>
    <row r="69" spans="1:3" s="105" customFormat="1" ht="21">
      <c r="A69" s="102"/>
      <c r="B69" s="103" t="s">
        <v>1170</v>
      </c>
      <c r="C69" s="104">
        <v>40000</v>
      </c>
    </row>
    <row r="70" spans="1:3" s="101" customFormat="1" ht="23.25" customHeight="1">
      <c r="A70" s="110">
        <v>4.3</v>
      </c>
      <c r="B70" s="112" t="s">
        <v>1171</v>
      </c>
      <c r="C70" s="113">
        <v>205800</v>
      </c>
    </row>
    <row r="71" spans="1:3" s="105" customFormat="1" ht="21">
      <c r="A71" s="102"/>
      <c r="B71" s="103" t="s">
        <v>1172</v>
      </c>
      <c r="C71" s="104">
        <v>10000</v>
      </c>
    </row>
    <row r="72" spans="1:3" s="105" customFormat="1" ht="21">
      <c r="A72" s="102"/>
      <c r="B72" s="103" t="s">
        <v>1173</v>
      </c>
      <c r="C72" s="104">
        <v>120000</v>
      </c>
    </row>
    <row r="73" spans="1:3" s="105" customFormat="1" ht="21">
      <c r="A73" s="102"/>
      <c r="B73" s="103" t="s">
        <v>1174</v>
      </c>
      <c r="C73" s="104">
        <v>800</v>
      </c>
    </row>
    <row r="74" spans="1:3" s="105" customFormat="1" ht="21">
      <c r="A74" s="102"/>
      <c r="B74" s="103" t="s">
        <v>1175</v>
      </c>
      <c r="C74" s="104">
        <v>40000</v>
      </c>
    </row>
    <row r="75" spans="1:3" s="105" customFormat="1" ht="21">
      <c r="A75" s="102"/>
      <c r="B75" s="103" t="s">
        <v>1176</v>
      </c>
      <c r="C75" s="104">
        <v>5000</v>
      </c>
    </row>
    <row r="76" spans="1:3" s="105" customFormat="1" ht="21">
      <c r="A76" s="102"/>
      <c r="B76" s="103" t="s">
        <v>1159</v>
      </c>
      <c r="C76" s="104">
        <v>30000</v>
      </c>
    </row>
    <row r="77" spans="1:3" s="101" customFormat="1" ht="23.25" customHeight="1" thickBot="1">
      <c r="A77" s="874"/>
      <c r="B77" s="875"/>
      <c r="C77" s="876"/>
    </row>
    <row r="78" spans="1:3" ht="23.25" customHeight="1">
      <c r="A78" s="130"/>
      <c r="B78" s="131" t="s">
        <v>4</v>
      </c>
      <c r="C78" s="877">
        <v>10000000.02</v>
      </c>
    </row>
    <row r="79" spans="1:3" ht="23.25" customHeight="1">
      <c r="A79" s="133"/>
      <c r="B79" s="134" t="s">
        <v>1177</v>
      </c>
      <c r="C79" s="135"/>
    </row>
    <row r="80" spans="1:3" ht="23.25" customHeight="1" thickBot="1">
      <c r="A80" s="136"/>
      <c r="B80" s="137"/>
      <c r="C80" s="138"/>
    </row>
    <row r="81" spans="2:3" ht="21.75" customHeight="1">
      <c r="B81" s="97"/>
      <c r="C81" s="139"/>
    </row>
    <row r="82" spans="2:3" ht="21.75" customHeight="1">
      <c r="C82" s="139"/>
    </row>
  </sheetData>
  <mergeCells count="2">
    <mergeCell ref="A1:C1"/>
    <mergeCell ref="A2:C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39"/>
  <sheetViews>
    <sheetView tabSelected="1" workbookViewId="0">
      <selection activeCell="B10" sqref="B10"/>
    </sheetView>
  </sheetViews>
  <sheetFormatPr defaultColWidth="9" defaultRowHeight="21"/>
  <cols>
    <col min="1" max="1" width="5.375" style="835" customWidth="1"/>
    <col min="2" max="2" width="70.875" style="1102" customWidth="1"/>
    <col min="3" max="3" width="17.625" style="1133" customWidth="1"/>
    <col min="4" max="16384" width="9" style="1102"/>
  </cols>
  <sheetData>
    <row r="1" spans="1:4" s="835" customFormat="1">
      <c r="A1" s="878"/>
      <c r="B1" s="878" t="s">
        <v>0</v>
      </c>
      <c r="C1" s="879" t="s">
        <v>1</v>
      </c>
    </row>
    <row r="2" spans="1:4" ht="63">
      <c r="A2" s="1099"/>
      <c r="B2" s="1100" t="s">
        <v>1672</v>
      </c>
      <c r="C2" s="1101" t="s">
        <v>2</v>
      </c>
    </row>
    <row r="3" spans="1:4" ht="42.75" thickBot="1">
      <c r="A3" s="880"/>
      <c r="B3" s="1103" t="s">
        <v>1673</v>
      </c>
      <c r="C3" s="1104">
        <f>C4+C13</f>
        <v>2000000</v>
      </c>
    </row>
    <row r="4" spans="1:4" ht="21.75" thickBot="1">
      <c r="A4" s="1105">
        <v>1</v>
      </c>
      <c r="B4" s="1106" t="s">
        <v>3</v>
      </c>
      <c r="C4" s="1107">
        <f>C5+C11</f>
        <v>830000</v>
      </c>
      <c r="D4" s="1108"/>
    </row>
    <row r="5" spans="1:4" s="1109" customFormat="1" ht="23.25" customHeight="1">
      <c r="A5" s="886">
        <v>1.1000000000000001</v>
      </c>
      <c r="B5" s="887" t="s">
        <v>1050</v>
      </c>
      <c r="C5" s="888">
        <f>C6+C7+C8+C9+C10</f>
        <v>740000</v>
      </c>
    </row>
    <row r="6" spans="1:4" s="1111" customFormat="1" ht="84">
      <c r="A6" s="1110"/>
      <c r="B6" s="1358" t="s">
        <v>1916</v>
      </c>
      <c r="C6" s="104">
        <v>216000</v>
      </c>
    </row>
    <row r="7" spans="1:4" s="1111" customFormat="1" ht="63">
      <c r="A7" s="1110"/>
      <c r="B7" s="109" t="s">
        <v>1917</v>
      </c>
      <c r="C7" s="104">
        <v>108000</v>
      </c>
    </row>
    <row r="8" spans="1:4" s="1111" customFormat="1" ht="63">
      <c r="A8" s="1110"/>
      <c r="B8" s="109" t="s">
        <v>1918</v>
      </c>
      <c r="C8" s="104">
        <v>108000</v>
      </c>
    </row>
    <row r="9" spans="1:4" s="1111" customFormat="1" ht="63">
      <c r="A9" s="1110"/>
      <c r="B9" s="109" t="s">
        <v>1919</v>
      </c>
      <c r="C9" s="104">
        <v>108000</v>
      </c>
    </row>
    <row r="10" spans="1:4" s="1111" customFormat="1" ht="63">
      <c r="A10" s="1110"/>
      <c r="B10" s="109" t="s">
        <v>1920</v>
      </c>
      <c r="C10" s="104">
        <v>200000</v>
      </c>
    </row>
    <row r="11" spans="1:4" s="1111" customFormat="1">
      <c r="A11" s="1110">
        <v>1.2</v>
      </c>
      <c r="B11" s="109" t="s">
        <v>1051</v>
      </c>
      <c r="C11" s="108">
        <f>C12</f>
        <v>90000</v>
      </c>
    </row>
    <row r="12" spans="1:4" s="1111" customFormat="1" ht="63.75" thickBot="1">
      <c r="A12" s="1110"/>
      <c r="B12" s="109" t="s">
        <v>1921</v>
      </c>
      <c r="C12" s="104">
        <v>90000</v>
      </c>
    </row>
    <row r="13" spans="1:4" s="1115" customFormat="1" ht="23.25" customHeight="1" thickBot="1">
      <c r="A13" s="1112">
        <v>2</v>
      </c>
      <c r="B13" s="1113" t="s">
        <v>1674</v>
      </c>
      <c r="C13" s="1114">
        <f>C14+C15+C16+C17+C19+C24+C27</f>
        <v>1170000</v>
      </c>
    </row>
    <row r="14" spans="1:4" s="1109" customFormat="1" ht="23.25" customHeight="1">
      <c r="A14" s="892">
        <v>2.1</v>
      </c>
      <c r="B14" s="116" t="s">
        <v>1675</v>
      </c>
      <c r="C14" s="117">
        <v>40000</v>
      </c>
    </row>
    <row r="15" spans="1:4" s="1109" customFormat="1" ht="23.25" customHeight="1">
      <c r="A15" s="1116">
        <v>2.2000000000000002</v>
      </c>
      <c r="B15" s="1117" t="s">
        <v>1676</v>
      </c>
      <c r="C15" s="1118">
        <v>45000</v>
      </c>
    </row>
    <row r="16" spans="1:4" s="1109" customFormat="1" ht="23.25" customHeight="1">
      <c r="A16" s="1116">
        <v>2.2999999999999998</v>
      </c>
      <c r="B16" s="1117" t="s">
        <v>1677</v>
      </c>
      <c r="C16" s="1118">
        <v>45000</v>
      </c>
    </row>
    <row r="17" spans="1:3" s="1109" customFormat="1" ht="23.25" customHeight="1">
      <c r="A17" s="892">
        <v>2.4</v>
      </c>
      <c r="B17" s="116" t="s">
        <v>1678</v>
      </c>
      <c r="C17" s="117">
        <v>780000</v>
      </c>
    </row>
    <row r="18" spans="1:3" s="1111" customFormat="1">
      <c r="A18" s="1110"/>
      <c r="B18" s="103" t="s">
        <v>1679</v>
      </c>
      <c r="C18" s="104"/>
    </row>
    <row r="19" spans="1:3" s="1109" customFormat="1" ht="23.25" customHeight="1">
      <c r="A19" s="892">
        <v>2.5</v>
      </c>
      <c r="B19" s="116" t="s">
        <v>1680</v>
      </c>
      <c r="C19" s="896">
        <f>C20+C21+C22+C23</f>
        <v>179800</v>
      </c>
    </row>
    <row r="20" spans="1:3" s="1111" customFormat="1">
      <c r="A20" s="1110"/>
      <c r="B20" s="103" t="s">
        <v>1681</v>
      </c>
      <c r="C20" s="104">
        <v>125000</v>
      </c>
    </row>
    <row r="21" spans="1:3" s="1111" customFormat="1">
      <c r="A21" s="1110"/>
      <c r="B21" s="103" t="s">
        <v>1682</v>
      </c>
      <c r="C21" s="104">
        <v>25000</v>
      </c>
    </row>
    <row r="22" spans="1:3" s="1111" customFormat="1">
      <c r="A22" s="1110"/>
      <c r="B22" s="103" t="s">
        <v>1683</v>
      </c>
      <c r="C22" s="104">
        <v>25000</v>
      </c>
    </row>
    <row r="23" spans="1:3" s="1111" customFormat="1">
      <c r="A23" s="1110"/>
      <c r="B23" s="103" t="s">
        <v>1684</v>
      </c>
      <c r="C23" s="104">
        <v>4800</v>
      </c>
    </row>
    <row r="24" spans="1:3" s="1109" customFormat="1" ht="23.25" customHeight="1">
      <c r="A24" s="892">
        <v>2.6</v>
      </c>
      <c r="B24" s="116" t="s">
        <v>1685</v>
      </c>
      <c r="C24" s="896">
        <f>C25+C26</f>
        <v>56500</v>
      </c>
    </row>
    <row r="25" spans="1:3" s="1111" customFormat="1">
      <c r="A25" s="1110"/>
      <c r="B25" s="103" t="s">
        <v>1686</v>
      </c>
      <c r="C25" s="104">
        <v>55000</v>
      </c>
    </row>
    <row r="26" spans="1:3" s="1111" customFormat="1">
      <c r="A26" s="1110"/>
      <c r="B26" s="103" t="s">
        <v>1687</v>
      </c>
      <c r="C26" s="104">
        <v>1500</v>
      </c>
    </row>
    <row r="27" spans="1:3" s="1109" customFormat="1" ht="23.25" customHeight="1">
      <c r="A27" s="892">
        <v>2.7</v>
      </c>
      <c r="B27" s="116" t="s">
        <v>1244</v>
      </c>
      <c r="C27" s="896">
        <f>C28+C29+C30+C31+C32+C33</f>
        <v>23700</v>
      </c>
    </row>
    <row r="28" spans="1:3" s="1111" customFormat="1">
      <c r="A28" s="1110"/>
      <c r="B28" s="1119" t="s">
        <v>1688</v>
      </c>
      <c r="C28" s="104">
        <v>2000</v>
      </c>
    </row>
    <row r="29" spans="1:3" s="1111" customFormat="1">
      <c r="A29" s="1110"/>
      <c r="B29" s="1119" t="s">
        <v>1689</v>
      </c>
      <c r="C29" s="104">
        <v>4000</v>
      </c>
    </row>
    <row r="30" spans="1:3" s="1111" customFormat="1">
      <c r="A30" s="1110"/>
      <c r="B30" s="1119" t="s">
        <v>1690</v>
      </c>
      <c r="C30" s="103">
        <v>6400</v>
      </c>
    </row>
    <row r="31" spans="1:3" s="1111" customFormat="1">
      <c r="A31" s="1110"/>
      <c r="B31" s="1120" t="s">
        <v>1691</v>
      </c>
      <c r="C31" s="104">
        <v>9600</v>
      </c>
    </row>
    <row r="32" spans="1:3" s="1111" customFormat="1">
      <c r="A32" s="1110"/>
      <c r="B32" s="1119" t="s">
        <v>1692</v>
      </c>
      <c r="C32" s="104">
        <v>1600</v>
      </c>
    </row>
    <row r="33" spans="1:3" s="1111" customFormat="1">
      <c r="A33" s="1110"/>
      <c r="B33" s="1119" t="s">
        <v>1693</v>
      </c>
      <c r="C33" s="104">
        <v>100</v>
      </c>
    </row>
    <row r="34" spans="1:3" s="1109" customFormat="1" ht="23.25" customHeight="1" thickBot="1">
      <c r="A34" s="1121"/>
      <c r="B34" s="1122"/>
      <c r="C34" s="1123"/>
    </row>
    <row r="35" spans="1:3" ht="23.25" customHeight="1">
      <c r="A35" s="1124"/>
      <c r="B35" s="1125" t="s">
        <v>4</v>
      </c>
      <c r="C35" s="877">
        <f>C4+C13</f>
        <v>2000000</v>
      </c>
    </row>
    <row r="36" spans="1:3" ht="23.25" customHeight="1">
      <c r="A36" s="1126"/>
      <c r="B36" s="1127" t="s">
        <v>1694</v>
      </c>
      <c r="C36" s="1128"/>
    </row>
    <row r="37" spans="1:3" ht="23.25" customHeight="1" thickBot="1">
      <c r="A37" s="1129"/>
      <c r="B37" s="1130"/>
      <c r="C37" s="1131"/>
    </row>
    <row r="38" spans="1:3" ht="21.75" customHeight="1">
      <c r="B38" s="1108"/>
      <c r="C38" s="1132"/>
    </row>
    <row r="39" spans="1:3" ht="21.75" customHeight="1">
      <c r="C39" s="113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106"/>
  <sheetViews>
    <sheetView workbookViewId="0">
      <selection sqref="A1:C1"/>
    </sheetView>
  </sheetViews>
  <sheetFormatPr defaultColWidth="9" defaultRowHeight="18.75"/>
  <cols>
    <col min="1" max="1" width="6.875" style="555" customWidth="1"/>
    <col min="2" max="2" width="59.125" style="556" customWidth="1"/>
    <col min="3" max="3" width="18.375" style="445" customWidth="1"/>
    <col min="4" max="7" width="9" style="1317"/>
    <col min="8" max="16384" width="9" style="498"/>
  </cols>
  <sheetData>
    <row r="1" spans="1:7" ht="23.25">
      <c r="A1" s="1423" t="s">
        <v>1003</v>
      </c>
      <c r="B1" s="1423"/>
      <c r="C1" s="1423"/>
    </row>
    <row r="2" spans="1:7" ht="21">
      <c r="A2" s="499"/>
      <c r="B2" s="500" t="s">
        <v>0</v>
      </c>
      <c r="C2" s="501" t="s">
        <v>1</v>
      </c>
    </row>
    <row r="3" spans="1:7" ht="42">
      <c r="A3" s="502"/>
      <c r="B3" s="572" t="s">
        <v>1002</v>
      </c>
      <c r="C3" s="503" t="s">
        <v>2</v>
      </c>
    </row>
    <row r="4" spans="1:7" s="353" customFormat="1" ht="19.5" thickBot="1">
      <c r="A4" s="1424" t="s">
        <v>1001</v>
      </c>
      <c r="B4" s="1425"/>
      <c r="C4" s="1426"/>
      <c r="D4" s="1318"/>
      <c r="E4" s="1318"/>
      <c r="F4" s="1318"/>
      <c r="G4" s="1318"/>
    </row>
    <row r="5" spans="1:7" s="353" customFormat="1" ht="18.75" customHeight="1">
      <c r="A5" s="504">
        <v>1</v>
      </c>
      <c r="B5" s="505" t="s">
        <v>3</v>
      </c>
      <c r="C5" s="281"/>
      <c r="D5" s="1318"/>
      <c r="E5" s="1318"/>
      <c r="F5" s="1318"/>
      <c r="G5" s="1318"/>
    </row>
    <row r="6" spans="1:7" s="353" customFormat="1">
      <c r="A6" s="350"/>
      <c r="B6" s="506"/>
      <c r="C6" s="284" t="s">
        <v>7</v>
      </c>
      <c r="D6" s="1318"/>
      <c r="E6" s="1318" t="s">
        <v>1841</v>
      </c>
      <c r="F6" s="1318" t="s">
        <v>1840</v>
      </c>
      <c r="G6" s="1318" t="s">
        <v>79</v>
      </c>
    </row>
    <row r="7" spans="1:7" s="353" customFormat="1">
      <c r="A7" s="350">
        <v>1</v>
      </c>
      <c r="B7" s="351" t="s">
        <v>1839</v>
      </c>
      <c r="C7" s="286">
        <v>165000</v>
      </c>
      <c r="D7" s="1319" t="s">
        <v>1833</v>
      </c>
      <c r="E7" s="1320">
        <v>55000</v>
      </c>
      <c r="F7" s="1321">
        <v>3</v>
      </c>
      <c r="G7" s="1321">
        <v>1</v>
      </c>
    </row>
    <row r="8" spans="1:7" s="353" customFormat="1" ht="37.5">
      <c r="A8" s="350">
        <v>2</v>
      </c>
      <c r="B8" s="507" t="s">
        <v>1842</v>
      </c>
      <c r="C8" s="286">
        <v>108000</v>
      </c>
      <c r="D8" s="1319" t="s">
        <v>1834</v>
      </c>
      <c r="E8" s="1320">
        <v>36000</v>
      </c>
      <c r="F8" s="1321">
        <v>3</v>
      </c>
      <c r="G8" s="1322">
        <v>1</v>
      </c>
    </row>
    <row r="9" spans="1:7" s="353" customFormat="1">
      <c r="A9" s="350">
        <v>3</v>
      </c>
      <c r="B9" s="507" t="s">
        <v>1843</v>
      </c>
      <c r="C9" s="286">
        <v>108000</v>
      </c>
      <c r="D9" s="1319" t="s">
        <v>1834</v>
      </c>
      <c r="E9" s="1320">
        <v>36000</v>
      </c>
      <c r="F9" s="1321">
        <v>3</v>
      </c>
      <c r="G9" s="1322">
        <v>1</v>
      </c>
    </row>
    <row r="10" spans="1:7" s="353" customFormat="1" ht="37.5">
      <c r="A10" s="350">
        <v>4</v>
      </c>
      <c r="B10" s="351" t="s">
        <v>1844</v>
      </c>
      <c r="C10" s="286">
        <v>108000</v>
      </c>
      <c r="D10" s="1319" t="s">
        <v>1834</v>
      </c>
      <c r="E10" s="1320">
        <v>36000</v>
      </c>
      <c r="F10" s="1321">
        <v>3</v>
      </c>
      <c r="G10" s="1322">
        <v>1</v>
      </c>
    </row>
    <row r="11" spans="1:7">
      <c r="A11" s="350">
        <v>5</v>
      </c>
      <c r="B11" s="351" t="s">
        <v>1845</v>
      </c>
      <c r="C11" s="286">
        <v>108000</v>
      </c>
      <c r="D11" s="1319" t="s">
        <v>1834</v>
      </c>
      <c r="E11" s="1320">
        <v>36000</v>
      </c>
      <c r="F11" s="1321">
        <v>3</v>
      </c>
      <c r="G11" s="1322">
        <v>1</v>
      </c>
    </row>
    <row r="12" spans="1:7" s="353" customFormat="1">
      <c r="A12" s="350">
        <v>6</v>
      </c>
      <c r="B12" s="353" t="s">
        <v>1846</v>
      </c>
      <c r="C12" s="286">
        <v>108000</v>
      </c>
      <c r="D12" s="1319" t="s">
        <v>1834</v>
      </c>
      <c r="E12" s="1320">
        <v>36000</v>
      </c>
      <c r="F12" s="1321">
        <v>3</v>
      </c>
      <c r="G12" s="1322">
        <v>1</v>
      </c>
    </row>
    <row r="13" spans="1:7" s="353" customFormat="1">
      <c r="A13" s="350">
        <v>7</v>
      </c>
      <c r="B13" s="351" t="s">
        <v>1847</v>
      </c>
      <c r="C13" s="286">
        <v>108000</v>
      </c>
      <c r="D13" s="1319" t="s">
        <v>1834</v>
      </c>
      <c r="E13" s="1320">
        <v>36000</v>
      </c>
      <c r="F13" s="1321">
        <v>3</v>
      </c>
      <c r="G13" s="1322">
        <v>1</v>
      </c>
    </row>
    <row r="14" spans="1:7" s="353" customFormat="1" ht="37.5">
      <c r="A14" s="350">
        <v>8</v>
      </c>
      <c r="B14" s="351" t="s">
        <v>1848</v>
      </c>
      <c r="C14" s="286">
        <v>90000</v>
      </c>
      <c r="D14" s="1319" t="s">
        <v>1835</v>
      </c>
      <c r="E14" s="1320">
        <v>30000</v>
      </c>
      <c r="F14" s="1321">
        <v>3</v>
      </c>
      <c r="G14" s="1322">
        <v>1</v>
      </c>
    </row>
    <row r="15" spans="1:7">
      <c r="A15" s="350">
        <v>9</v>
      </c>
      <c r="B15" s="351" t="s">
        <v>1849</v>
      </c>
      <c r="C15" s="286">
        <v>90000</v>
      </c>
      <c r="D15" s="1319" t="s">
        <v>1835</v>
      </c>
      <c r="E15" s="1320">
        <v>30000</v>
      </c>
      <c r="F15" s="1321">
        <v>3</v>
      </c>
      <c r="G15" s="1322">
        <v>1</v>
      </c>
    </row>
    <row r="16" spans="1:7" s="353" customFormat="1">
      <c r="A16" s="350">
        <v>10</v>
      </c>
      <c r="B16" s="508" t="s">
        <v>1850</v>
      </c>
      <c r="C16" s="286">
        <v>90000</v>
      </c>
      <c r="D16" s="1319" t="s">
        <v>1836</v>
      </c>
      <c r="E16" s="1323">
        <v>15000</v>
      </c>
      <c r="F16" s="1321">
        <v>3</v>
      </c>
      <c r="G16" s="1322">
        <v>2</v>
      </c>
    </row>
    <row r="17" spans="1:7" s="353" customFormat="1">
      <c r="A17" s="350">
        <v>13</v>
      </c>
      <c r="B17" s="509" t="s">
        <v>1851</v>
      </c>
      <c r="C17" s="286">
        <v>540000</v>
      </c>
      <c r="D17" s="1319" t="s">
        <v>1837</v>
      </c>
      <c r="E17" s="1323">
        <v>15000</v>
      </c>
      <c r="F17" s="1321">
        <v>9</v>
      </c>
      <c r="G17" s="1324">
        <v>4</v>
      </c>
    </row>
    <row r="18" spans="1:7" s="353" customFormat="1">
      <c r="A18" s="350">
        <v>14</v>
      </c>
      <c r="B18" s="351" t="s">
        <v>1852</v>
      </c>
      <c r="C18" s="286">
        <v>540000</v>
      </c>
      <c r="D18" s="1319" t="s">
        <v>1838</v>
      </c>
      <c r="E18" s="1323">
        <v>15000</v>
      </c>
      <c r="F18" s="1321">
        <v>9</v>
      </c>
      <c r="G18" s="1322">
        <v>4</v>
      </c>
    </row>
    <row r="19" spans="1:7" s="353" customFormat="1" ht="21">
      <c r="A19" s="510"/>
      <c r="B19" s="351"/>
      <c r="C19" s="492">
        <f>SUM(C7:C18)</f>
        <v>2163000</v>
      </c>
      <c r="D19" s="1318"/>
      <c r="E19" s="1318"/>
      <c r="F19" s="1318"/>
      <c r="G19" s="1318"/>
    </row>
    <row r="20" spans="1:7" s="353" customFormat="1">
      <c r="A20" s="1427" t="s">
        <v>10</v>
      </c>
      <c r="B20" s="1428"/>
      <c r="C20" s="512"/>
      <c r="D20" s="1318"/>
      <c r="E20" s="1318"/>
      <c r="F20" s="1318"/>
      <c r="G20" s="1318"/>
    </row>
    <row r="21" spans="1:7" s="353" customFormat="1" ht="75">
      <c r="A21" s="513">
        <v>6.2</v>
      </c>
      <c r="B21" s="1170" t="s">
        <v>1932</v>
      </c>
      <c r="C21" s="514"/>
      <c r="D21" s="1318"/>
      <c r="E21" s="1318"/>
      <c r="F21" s="1318"/>
      <c r="G21" s="1318"/>
    </row>
    <row r="22" spans="1:7" s="353" customFormat="1">
      <c r="A22" s="515"/>
      <c r="B22" s="516" t="s">
        <v>11</v>
      </c>
      <c r="C22" s="517" t="s">
        <v>1</v>
      </c>
      <c r="D22" s="1318"/>
      <c r="E22" s="1318"/>
      <c r="F22" s="1318"/>
      <c r="G22" s="1318"/>
    </row>
    <row r="23" spans="1:7" s="353" customFormat="1">
      <c r="A23" s="518">
        <v>1</v>
      </c>
      <c r="B23" s="519" t="s">
        <v>36</v>
      </c>
      <c r="C23" s="520">
        <v>20000</v>
      </c>
      <c r="D23" s="1318"/>
      <c r="E23" s="1318"/>
      <c r="F23" s="1318"/>
      <c r="G23" s="1318"/>
    </row>
    <row r="24" spans="1:7" s="353" customFormat="1">
      <c r="A24" s="521">
        <v>2</v>
      </c>
      <c r="B24" s="522" t="s">
        <v>37</v>
      </c>
      <c r="C24" s="520">
        <v>10000</v>
      </c>
      <c r="D24" s="1318"/>
      <c r="E24" s="1318"/>
      <c r="F24" s="1318"/>
      <c r="G24" s="1318"/>
    </row>
    <row r="25" spans="1:7" s="353" customFormat="1">
      <c r="A25" s="518">
        <v>3</v>
      </c>
      <c r="B25" s="523" t="s">
        <v>38</v>
      </c>
      <c r="C25" s="520">
        <v>10000</v>
      </c>
      <c r="D25" s="1318"/>
      <c r="E25" s="1318"/>
      <c r="F25" s="1318"/>
      <c r="G25" s="1318"/>
    </row>
    <row r="26" spans="1:7" s="353" customFormat="1">
      <c r="A26" s="521">
        <v>4</v>
      </c>
      <c r="B26" s="523" t="s">
        <v>39</v>
      </c>
      <c r="C26" s="520">
        <v>50000</v>
      </c>
      <c r="D26" s="1318"/>
      <c r="E26" s="1318"/>
      <c r="F26" s="1318"/>
      <c r="G26" s="1318"/>
    </row>
    <row r="27" spans="1:7" s="353" customFormat="1">
      <c r="A27" s="524"/>
      <c r="B27" s="524"/>
      <c r="C27" s="525">
        <f>SUM(C23:C26)</f>
        <v>90000</v>
      </c>
      <c r="D27" s="1318"/>
      <c r="E27" s="1318"/>
      <c r="F27" s="1318"/>
      <c r="G27" s="1318"/>
    </row>
    <row r="28" spans="1:7" s="353" customFormat="1">
      <c r="A28" s="526">
        <v>6.3</v>
      </c>
      <c r="B28" s="527" t="s">
        <v>1933</v>
      </c>
      <c r="C28" s="528"/>
      <c r="D28" s="1318"/>
      <c r="E28" s="1318"/>
      <c r="F28" s="1318"/>
      <c r="G28" s="1318"/>
    </row>
    <row r="29" spans="1:7" s="353" customFormat="1">
      <c r="A29" s="529"/>
      <c r="B29" s="530"/>
      <c r="C29" s="531" t="s">
        <v>1</v>
      </c>
      <c r="D29" s="1318"/>
      <c r="E29" s="1318"/>
      <c r="F29" s="1318"/>
      <c r="G29" s="1318"/>
    </row>
    <row r="30" spans="1:7" s="353" customFormat="1">
      <c r="A30" s="573">
        <v>1</v>
      </c>
      <c r="B30" s="581" t="s">
        <v>66</v>
      </c>
      <c r="C30" s="557"/>
      <c r="D30" s="1318"/>
      <c r="E30" s="1318"/>
      <c r="F30" s="1318"/>
      <c r="G30" s="1318"/>
    </row>
    <row r="31" spans="1:7" s="353" customFormat="1">
      <c r="A31" s="350">
        <v>1.1000000000000001</v>
      </c>
      <c r="B31" s="532" t="s">
        <v>67</v>
      </c>
      <c r="C31" s="520">
        <v>2200</v>
      </c>
      <c r="D31" s="1318"/>
      <c r="E31" s="1318"/>
      <c r="F31" s="1318"/>
      <c r="G31" s="1318"/>
    </row>
    <row r="32" spans="1:7" s="353" customFormat="1">
      <c r="A32" s="350">
        <v>1.2</v>
      </c>
      <c r="B32" s="353" t="s">
        <v>63</v>
      </c>
      <c r="C32" s="520">
        <v>21120</v>
      </c>
      <c r="D32" s="1318"/>
      <c r="E32" s="1318"/>
      <c r="F32" s="1318"/>
      <c r="G32" s="1318"/>
    </row>
    <row r="33" spans="1:7" s="353" customFormat="1">
      <c r="A33" s="350">
        <v>1.3</v>
      </c>
      <c r="B33" s="353" t="s">
        <v>74</v>
      </c>
      <c r="C33" s="520">
        <v>17600</v>
      </c>
      <c r="D33" s="1318"/>
      <c r="E33" s="1318"/>
      <c r="F33" s="1318"/>
      <c r="G33" s="1318"/>
    </row>
    <row r="34" spans="1:7" s="353" customFormat="1">
      <c r="A34" s="350">
        <v>1.4</v>
      </c>
      <c r="B34" s="353" t="s">
        <v>64</v>
      </c>
      <c r="C34" s="520">
        <v>50000</v>
      </c>
      <c r="D34" s="1318"/>
      <c r="E34" s="1318"/>
      <c r="F34" s="1318"/>
      <c r="G34" s="1318"/>
    </row>
    <row r="35" spans="1:7" s="353" customFormat="1">
      <c r="A35" s="350">
        <v>1.5</v>
      </c>
      <c r="B35" s="533" t="s">
        <v>65</v>
      </c>
      <c r="C35" s="520">
        <v>110000</v>
      </c>
      <c r="D35" s="1318"/>
      <c r="E35" s="1318"/>
      <c r="F35" s="1318"/>
      <c r="G35" s="1318"/>
    </row>
    <row r="36" spans="1:7" s="353" customFormat="1">
      <c r="A36" s="573">
        <v>2</v>
      </c>
      <c r="B36" s="574" t="s">
        <v>40</v>
      </c>
      <c r="C36" s="557"/>
      <c r="D36" s="1318"/>
      <c r="E36" s="1318"/>
      <c r="F36" s="1318"/>
      <c r="G36" s="1318"/>
    </row>
    <row r="37" spans="1:7" s="353" customFormat="1">
      <c r="A37" s="575"/>
      <c r="B37" s="576" t="s">
        <v>58</v>
      </c>
      <c r="C37" s="577"/>
      <c r="D37" s="1318"/>
      <c r="E37" s="1318"/>
      <c r="F37" s="1318"/>
      <c r="G37" s="1318"/>
    </row>
    <row r="38" spans="1:7" s="353" customFormat="1">
      <c r="A38" s="350">
        <v>2.1</v>
      </c>
      <c r="B38" s="353" t="s">
        <v>57</v>
      </c>
      <c r="C38" s="520">
        <v>792000</v>
      </c>
      <c r="D38" s="1318"/>
      <c r="E38" s="1318"/>
      <c r="F38" s="1318"/>
      <c r="G38" s="1318"/>
    </row>
    <row r="39" spans="1:7" s="353" customFormat="1">
      <c r="A39" s="350">
        <v>2.2000000000000002</v>
      </c>
      <c r="B39" s="532" t="s">
        <v>59</v>
      </c>
      <c r="C39" s="520">
        <v>4400</v>
      </c>
      <c r="D39" s="1318"/>
      <c r="E39" s="1318"/>
      <c r="F39" s="1318"/>
      <c r="G39" s="1318"/>
    </row>
    <row r="40" spans="1:7" s="353" customFormat="1">
      <c r="A40" s="350">
        <v>2.6</v>
      </c>
      <c r="B40" s="353" t="s">
        <v>60</v>
      </c>
      <c r="C40" s="520">
        <v>42240</v>
      </c>
      <c r="D40" s="1318"/>
      <c r="E40" s="1318"/>
      <c r="F40" s="1318"/>
      <c r="G40" s="1318"/>
    </row>
    <row r="41" spans="1:7" s="353" customFormat="1">
      <c r="A41" s="350">
        <v>2.7</v>
      </c>
      <c r="B41" s="353" t="s">
        <v>61</v>
      </c>
      <c r="C41" s="520">
        <v>140800</v>
      </c>
      <c r="D41" s="1318"/>
      <c r="E41" s="1318"/>
      <c r="F41" s="1318"/>
      <c r="G41" s="1318"/>
    </row>
    <row r="42" spans="1:7" s="353" customFormat="1">
      <c r="A42" s="350">
        <v>2.8</v>
      </c>
      <c r="B42" s="353" t="s">
        <v>62</v>
      </c>
      <c r="C42" s="520">
        <v>250000</v>
      </c>
      <c r="D42" s="1318"/>
      <c r="E42" s="1318"/>
      <c r="F42" s="1318"/>
      <c r="G42" s="1318"/>
    </row>
    <row r="43" spans="1:7" s="353" customFormat="1">
      <c r="A43" s="534">
        <v>2.9</v>
      </c>
      <c r="B43" s="535" t="s">
        <v>56</v>
      </c>
      <c r="C43" s="558">
        <v>220000</v>
      </c>
      <c r="D43" s="1318"/>
      <c r="E43" s="1318"/>
      <c r="F43" s="1318"/>
      <c r="G43" s="1318"/>
    </row>
    <row r="44" spans="1:7" s="353" customFormat="1" ht="37.5">
      <c r="A44" s="578">
        <v>3</v>
      </c>
      <c r="B44" s="579" t="s">
        <v>71</v>
      </c>
      <c r="C44" s="580"/>
      <c r="D44" s="1318"/>
      <c r="E44" s="1318"/>
      <c r="F44" s="1318"/>
      <c r="G44" s="1318"/>
    </row>
    <row r="45" spans="1:7" s="353" customFormat="1">
      <c r="A45" s="350">
        <v>3.1</v>
      </c>
      <c r="B45" s="532" t="s">
        <v>68</v>
      </c>
      <c r="C45" s="520">
        <v>3000</v>
      </c>
      <c r="D45" s="1318"/>
      <c r="E45" s="1318"/>
      <c r="F45" s="1318"/>
      <c r="G45" s="1318"/>
    </row>
    <row r="46" spans="1:7" s="353" customFormat="1">
      <c r="A46" s="350">
        <v>3.2</v>
      </c>
      <c r="B46" s="353" t="s">
        <v>14</v>
      </c>
      <c r="C46" s="520">
        <v>5000</v>
      </c>
      <c r="D46" s="1318"/>
      <c r="E46" s="1318"/>
      <c r="F46" s="1318"/>
      <c r="G46" s="1318"/>
    </row>
    <row r="47" spans="1:7" s="353" customFormat="1">
      <c r="A47" s="350">
        <v>3.3</v>
      </c>
      <c r="B47" s="538" t="s">
        <v>69</v>
      </c>
      <c r="C47" s="520">
        <v>3000</v>
      </c>
      <c r="D47" s="1318"/>
      <c r="E47" s="1318"/>
      <c r="F47" s="1318"/>
      <c r="G47" s="1318"/>
    </row>
    <row r="48" spans="1:7" s="353" customFormat="1">
      <c r="A48" s="350">
        <v>3.4</v>
      </c>
      <c r="B48" s="538" t="s">
        <v>70</v>
      </c>
      <c r="C48" s="520">
        <v>15000</v>
      </c>
      <c r="D48" s="1318"/>
      <c r="E48" s="1318"/>
      <c r="F48" s="1318"/>
      <c r="G48" s="1318"/>
    </row>
    <row r="49" spans="1:7" s="353" customFormat="1" ht="21">
      <c r="A49" s="536">
        <v>4</v>
      </c>
      <c r="B49" s="537" t="s">
        <v>72</v>
      </c>
      <c r="C49" s="425"/>
      <c r="D49" s="1318"/>
      <c r="E49" s="1318"/>
      <c r="F49" s="1318"/>
      <c r="G49" s="1318"/>
    </row>
    <row r="50" spans="1:7" s="353" customFormat="1">
      <c r="A50" s="350">
        <v>4.0999999999999996</v>
      </c>
      <c r="B50" s="351" t="s">
        <v>73</v>
      </c>
      <c r="C50" s="352">
        <v>10000</v>
      </c>
      <c r="D50" s="1318"/>
      <c r="E50" s="1318"/>
      <c r="F50" s="1318"/>
      <c r="G50" s="1318"/>
    </row>
    <row r="51" spans="1:7" s="353" customFormat="1">
      <c r="A51" s="350">
        <v>4.2</v>
      </c>
      <c r="B51" s="351" t="s">
        <v>75</v>
      </c>
      <c r="C51" s="352">
        <v>275000</v>
      </c>
      <c r="D51" s="1318"/>
      <c r="E51" s="1318"/>
      <c r="F51" s="1318"/>
      <c r="G51" s="1318"/>
    </row>
    <row r="52" spans="1:7" s="353" customFormat="1">
      <c r="A52" s="350">
        <v>4.3</v>
      </c>
      <c r="B52" s="351" t="s">
        <v>76</v>
      </c>
      <c r="C52" s="352">
        <v>30500</v>
      </c>
      <c r="D52" s="1318"/>
      <c r="E52" s="1318"/>
      <c r="F52" s="1318"/>
      <c r="G52" s="1318"/>
    </row>
    <row r="53" spans="1:7" s="353" customFormat="1">
      <c r="A53" s="350">
        <v>4.4000000000000004</v>
      </c>
      <c r="B53" s="351" t="s">
        <v>77</v>
      </c>
      <c r="C53" s="352">
        <v>7080</v>
      </c>
      <c r="D53" s="1318"/>
      <c r="E53" s="1318"/>
      <c r="F53" s="1318"/>
      <c r="G53" s="1318"/>
    </row>
    <row r="54" spans="1:7" s="353" customFormat="1" ht="21">
      <c r="A54" s="350"/>
      <c r="B54" s="351"/>
      <c r="C54" s="425">
        <f>SUM(C31:C53)</f>
        <v>1998940</v>
      </c>
      <c r="D54" s="1318"/>
      <c r="E54" s="1318"/>
      <c r="F54" s="1318"/>
      <c r="G54" s="1318"/>
    </row>
    <row r="55" spans="1:7" s="353" customFormat="1" ht="37.5" customHeight="1">
      <c r="A55" s="539">
        <v>6.4</v>
      </c>
      <c r="B55" s="1429" t="s">
        <v>1934</v>
      </c>
      <c r="C55" s="1430"/>
      <c r="D55" s="1318"/>
      <c r="E55" s="1318"/>
      <c r="F55" s="1318"/>
      <c r="G55" s="1318"/>
    </row>
    <row r="56" spans="1:7" s="353" customFormat="1" ht="18" customHeight="1">
      <c r="A56" s="540"/>
      <c r="B56" s="541"/>
      <c r="C56" s="559" t="s">
        <v>1</v>
      </c>
      <c r="D56" s="1318"/>
      <c r="E56" s="1318"/>
      <c r="F56" s="1318"/>
      <c r="G56" s="1318"/>
    </row>
    <row r="57" spans="1:7" s="353" customFormat="1">
      <c r="A57" s="350">
        <v>1</v>
      </c>
      <c r="B57" s="353" t="s">
        <v>1805</v>
      </c>
      <c r="C57" s="520">
        <v>554400</v>
      </c>
      <c r="D57" s="1318"/>
      <c r="E57" s="1318"/>
      <c r="F57" s="1318"/>
      <c r="G57" s="1318"/>
    </row>
    <row r="58" spans="1:7" s="353" customFormat="1">
      <c r="A58" s="350">
        <v>2</v>
      </c>
      <c r="B58" s="532" t="s">
        <v>41</v>
      </c>
      <c r="C58" s="520">
        <v>52800</v>
      </c>
      <c r="D58" s="1318"/>
      <c r="E58" s="1318"/>
      <c r="F58" s="1318"/>
      <c r="G58" s="1318"/>
    </row>
    <row r="59" spans="1:7" s="353" customFormat="1">
      <c r="A59" s="350">
        <v>3</v>
      </c>
      <c r="B59" s="353" t="s">
        <v>42</v>
      </c>
      <c r="C59" s="520">
        <v>380160</v>
      </c>
      <c r="D59" s="1318"/>
      <c r="E59" s="1318"/>
      <c r="F59" s="1318"/>
      <c r="G59" s="1318"/>
    </row>
    <row r="60" spans="1:7" s="353" customFormat="1">
      <c r="A60" s="350">
        <v>4</v>
      </c>
      <c r="B60" s="353" t="s">
        <v>43</v>
      </c>
      <c r="C60" s="520">
        <v>422400</v>
      </c>
      <c r="D60" s="1318"/>
      <c r="E60" s="1318"/>
      <c r="F60" s="1318"/>
      <c r="G60" s="1318"/>
    </row>
    <row r="61" spans="1:7" s="353" customFormat="1">
      <c r="A61" s="350">
        <v>5</v>
      </c>
      <c r="B61" s="353" t="s">
        <v>44</v>
      </c>
      <c r="C61" s="520">
        <v>200000</v>
      </c>
      <c r="D61" s="1318"/>
      <c r="E61" s="1318"/>
      <c r="F61" s="1318"/>
      <c r="G61" s="1318"/>
    </row>
    <row r="62" spans="1:7" s="353" customFormat="1">
      <c r="A62" s="350">
        <v>6</v>
      </c>
      <c r="B62" s="533" t="s">
        <v>45</v>
      </c>
      <c r="C62" s="520">
        <v>495000</v>
      </c>
      <c r="D62" s="1318"/>
      <c r="E62" s="1318"/>
      <c r="F62" s="1318"/>
      <c r="G62" s="1318"/>
    </row>
    <row r="63" spans="1:7" s="353" customFormat="1" ht="21">
      <c r="A63" s="350"/>
      <c r="B63" s="351"/>
      <c r="C63" s="425">
        <f>SUM(C56:C62)</f>
        <v>2104760</v>
      </c>
      <c r="D63" s="1318"/>
      <c r="E63" s="1318"/>
      <c r="F63" s="1318"/>
      <c r="G63" s="1318"/>
    </row>
    <row r="64" spans="1:7" s="353" customFormat="1" ht="18" customHeight="1">
      <c r="A64" s="526">
        <v>6.5</v>
      </c>
      <c r="B64" s="1431" t="s">
        <v>1935</v>
      </c>
      <c r="C64" s="1432"/>
      <c r="D64" s="1318"/>
      <c r="E64" s="1318"/>
      <c r="F64" s="1318"/>
      <c r="G64" s="1318"/>
    </row>
    <row r="65" spans="1:7" s="353" customFormat="1" ht="19.5" customHeight="1">
      <c r="A65" s="542"/>
      <c r="B65" s="1433"/>
      <c r="C65" s="1434"/>
      <c r="D65" s="1318"/>
      <c r="E65" s="1318"/>
      <c r="F65" s="1318"/>
      <c r="G65" s="1318"/>
    </row>
    <row r="66" spans="1:7" s="353" customFormat="1">
      <c r="A66" s="561">
        <v>1</v>
      </c>
      <c r="B66" s="562" t="s">
        <v>33</v>
      </c>
      <c r="C66" s="560">
        <v>25200</v>
      </c>
      <c r="D66" s="1318"/>
      <c r="E66" s="1318"/>
      <c r="F66" s="1318"/>
      <c r="G66" s="1318"/>
    </row>
    <row r="67" spans="1:7" s="353" customFormat="1">
      <c r="A67" s="350">
        <v>2</v>
      </c>
      <c r="B67" s="563" t="s">
        <v>46</v>
      </c>
      <c r="C67" s="520">
        <v>16000</v>
      </c>
      <c r="D67" s="1318"/>
      <c r="E67" s="1318"/>
      <c r="F67" s="1318"/>
      <c r="G67" s="1318"/>
    </row>
    <row r="68" spans="1:7" s="353" customFormat="1">
      <c r="A68" s="350">
        <v>3</v>
      </c>
      <c r="B68" s="564" t="s">
        <v>14</v>
      </c>
      <c r="C68" s="520">
        <v>5000</v>
      </c>
      <c r="D68" s="1318"/>
      <c r="E68" s="1318"/>
      <c r="F68" s="1318"/>
      <c r="G68" s="1318"/>
    </row>
    <row r="69" spans="1:7" s="353" customFormat="1">
      <c r="A69" s="350">
        <v>4</v>
      </c>
      <c r="B69" s="565" t="s">
        <v>47</v>
      </c>
      <c r="C69" s="520">
        <v>8000</v>
      </c>
      <c r="D69" s="1318"/>
      <c r="E69" s="1318"/>
      <c r="F69" s="1318"/>
      <c r="G69" s="1318"/>
    </row>
    <row r="70" spans="1:7" s="353" customFormat="1">
      <c r="A70" s="350">
        <v>5</v>
      </c>
      <c r="B70" s="565" t="s">
        <v>48</v>
      </c>
      <c r="C70" s="520">
        <v>40000</v>
      </c>
      <c r="D70" s="1318"/>
      <c r="E70" s="1318"/>
      <c r="F70" s="1318"/>
      <c r="G70" s="1318"/>
    </row>
    <row r="71" spans="1:7" s="353" customFormat="1">
      <c r="A71" s="350">
        <v>6</v>
      </c>
      <c r="B71" s="564" t="s">
        <v>49</v>
      </c>
      <c r="C71" s="520">
        <v>1200</v>
      </c>
      <c r="D71" s="1318"/>
      <c r="E71" s="1318"/>
      <c r="F71" s="1318"/>
      <c r="G71" s="1318"/>
    </row>
    <row r="72" spans="1:7" s="353" customFormat="1">
      <c r="A72" s="350">
        <v>7</v>
      </c>
      <c r="B72" s="564" t="s">
        <v>50</v>
      </c>
      <c r="C72" s="520">
        <v>4800</v>
      </c>
      <c r="D72" s="1318"/>
      <c r="E72" s="1318"/>
      <c r="F72" s="1318"/>
      <c r="G72" s="1318"/>
    </row>
    <row r="73" spans="1:7" s="353" customFormat="1">
      <c r="A73" s="350">
        <v>9</v>
      </c>
      <c r="B73" s="566" t="s">
        <v>51</v>
      </c>
      <c r="C73" s="520">
        <v>7500</v>
      </c>
      <c r="D73" s="1318"/>
      <c r="E73" s="1318"/>
      <c r="F73" s="1318"/>
      <c r="G73" s="1318"/>
    </row>
    <row r="74" spans="1:7" s="353" customFormat="1" ht="21">
      <c r="A74" s="534"/>
      <c r="B74" s="1176" t="s">
        <v>1</v>
      </c>
      <c r="C74" s="492">
        <f>SUM(C66:C73)</f>
        <v>107700</v>
      </c>
      <c r="D74" s="1318"/>
      <c r="E74" s="1318"/>
      <c r="F74" s="1318"/>
      <c r="G74" s="1318"/>
    </row>
    <row r="75" spans="1:7" s="353" customFormat="1" ht="18" customHeight="1">
      <c r="A75" s="526">
        <v>6.6</v>
      </c>
      <c r="B75" s="1417" t="s">
        <v>1936</v>
      </c>
      <c r="C75" s="1418"/>
      <c r="D75" s="1318"/>
      <c r="E75" s="1318"/>
      <c r="F75" s="1318"/>
      <c r="G75" s="1318"/>
    </row>
    <row r="76" spans="1:7" s="353" customFormat="1" ht="18" customHeight="1">
      <c r="A76" s="542"/>
      <c r="B76" s="543"/>
      <c r="C76" s="544" t="s">
        <v>1</v>
      </c>
      <c r="D76" s="1318"/>
      <c r="E76" s="1318"/>
      <c r="F76" s="1318"/>
      <c r="G76" s="1318"/>
    </row>
    <row r="77" spans="1:7" s="353" customFormat="1">
      <c r="A77" s="561">
        <v>1</v>
      </c>
      <c r="B77" s="567" t="s">
        <v>34</v>
      </c>
      <c r="C77" s="560">
        <v>8400</v>
      </c>
      <c r="D77" s="1318"/>
      <c r="E77" s="1318"/>
      <c r="F77" s="1318"/>
      <c r="G77" s="1318"/>
    </row>
    <row r="78" spans="1:7" s="353" customFormat="1">
      <c r="A78" s="350">
        <v>2</v>
      </c>
      <c r="B78" s="532" t="s">
        <v>52</v>
      </c>
      <c r="C78" s="520">
        <v>10000</v>
      </c>
      <c r="D78" s="1318"/>
      <c r="E78" s="1318"/>
      <c r="F78" s="1318"/>
      <c r="G78" s="1318"/>
    </row>
    <row r="79" spans="1:7" s="353" customFormat="1">
      <c r="A79" s="350">
        <v>3</v>
      </c>
      <c r="B79" s="353" t="s">
        <v>14</v>
      </c>
      <c r="C79" s="520">
        <v>5000</v>
      </c>
      <c r="D79" s="1318"/>
      <c r="E79" s="1318"/>
      <c r="F79" s="1318"/>
      <c r="G79" s="1318"/>
    </row>
    <row r="80" spans="1:7" s="353" customFormat="1">
      <c r="A80" s="350">
        <v>4</v>
      </c>
      <c r="B80" s="538" t="s">
        <v>35</v>
      </c>
      <c r="C80" s="520">
        <v>5000</v>
      </c>
      <c r="D80" s="1318"/>
      <c r="E80" s="1318"/>
      <c r="F80" s="1318"/>
      <c r="G80" s="1318"/>
    </row>
    <row r="81" spans="1:7" s="353" customFormat="1">
      <c r="A81" s="350">
        <v>5</v>
      </c>
      <c r="B81" s="538" t="s">
        <v>15</v>
      </c>
      <c r="C81" s="520">
        <v>25000</v>
      </c>
      <c r="D81" s="1318"/>
      <c r="E81" s="1318"/>
      <c r="F81" s="1318"/>
      <c r="G81" s="1318"/>
    </row>
    <row r="82" spans="1:7" s="353" customFormat="1" ht="21">
      <c r="A82" s="350"/>
      <c r="B82" s="351"/>
      <c r="C82" s="425">
        <f>SUM(C77:C81)</f>
        <v>53400</v>
      </c>
      <c r="D82" s="1318"/>
      <c r="E82" s="1318"/>
      <c r="F82" s="1318"/>
      <c r="G82" s="1318"/>
    </row>
    <row r="83" spans="1:7" s="353" customFormat="1" ht="21.75" customHeight="1">
      <c r="A83" s="545">
        <v>6.7</v>
      </c>
      <c r="B83" s="398" t="s">
        <v>1937</v>
      </c>
      <c r="C83" s="546"/>
      <c r="D83" s="1318"/>
      <c r="E83" s="1318"/>
      <c r="F83" s="1318"/>
      <c r="G83" s="1318"/>
    </row>
    <row r="84" spans="1:7" s="353" customFormat="1">
      <c r="A84" s="540"/>
      <c r="B84" s="541"/>
      <c r="C84" s="559" t="s">
        <v>1</v>
      </c>
      <c r="D84" s="1325"/>
      <c r="E84" s="1318"/>
      <c r="F84" s="1318"/>
      <c r="G84" s="1318"/>
    </row>
    <row r="85" spans="1:7" s="353" customFormat="1" ht="18" customHeight="1">
      <c r="A85" s="350">
        <v>1</v>
      </c>
      <c r="B85" s="506" t="s">
        <v>16</v>
      </c>
      <c r="C85" s="432">
        <v>300000</v>
      </c>
      <c r="D85" s="1318"/>
      <c r="E85" s="1318"/>
      <c r="F85" s="1318"/>
      <c r="G85" s="1318"/>
    </row>
    <row r="86" spans="1:7" s="547" customFormat="1" ht="18" customHeight="1">
      <c r="A86" s="350">
        <v>2</v>
      </c>
      <c r="B86" s="506" t="s">
        <v>17</v>
      </c>
      <c r="C86" s="432">
        <v>20000</v>
      </c>
      <c r="D86" s="1318"/>
      <c r="E86" s="1325"/>
      <c r="F86" s="1325"/>
      <c r="G86" s="1325"/>
    </row>
    <row r="87" spans="1:7" s="547" customFormat="1" ht="18" customHeight="1">
      <c r="A87" s="350">
        <v>3</v>
      </c>
      <c r="B87" s="506" t="s">
        <v>54</v>
      </c>
      <c r="C87" s="432">
        <v>100000</v>
      </c>
      <c r="D87" s="1318"/>
      <c r="E87" s="1325"/>
      <c r="F87" s="1325"/>
      <c r="G87" s="1325"/>
    </row>
    <row r="88" spans="1:7" s="353" customFormat="1" ht="18" customHeight="1">
      <c r="A88" s="350">
        <v>4</v>
      </c>
      <c r="B88" s="506" t="s">
        <v>30</v>
      </c>
      <c r="C88" s="432">
        <v>3000</v>
      </c>
      <c r="D88" s="1318"/>
      <c r="E88" s="1318"/>
      <c r="F88" s="1318"/>
      <c r="G88" s="1318"/>
    </row>
    <row r="89" spans="1:7" s="353" customFormat="1" ht="18" customHeight="1">
      <c r="A89" s="350">
        <v>5</v>
      </c>
      <c r="B89" s="506" t="s">
        <v>53</v>
      </c>
      <c r="C89" s="432">
        <v>2500</v>
      </c>
      <c r="D89" s="1318"/>
      <c r="E89" s="1318"/>
      <c r="F89" s="1318"/>
      <c r="G89" s="1318"/>
    </row>
    <row r="90" spans="1:7" s="353" customFormat="1" ht="21">
      <c r="A90" s="350"/>
      <c r="B90" s="506"/>
      <c r="C90" s="425">
        <f>SUM(C85:C89)</f>
        <v>425500</v>
      </c>
      <c r="D90" s="1318"/>
      <c r="E90" s="1318"/>
      <c r="F90" s="1318"/>
      <c r="G90" s="1318"/>
    </row>
    <row r="91" spans="1:7" s="353" customFormat="1" ht="18" customHeight="1">
      <c r="A91" s="545">
        <v>6.8</v>
      </c>
      <c r="B91" s="398" t="s">
        <v>18</v>
      </c>
      <c r="C91" s="546"/>
      <c r="D91" s="1318"/>
      <c r="E91" s="1318"/>
      <c r="F91" s="1318"/>
      <c r="G91" s="1318"/>
    </row>
    <row r="92" spans="1:7" s="353" customFormat="1" ht="18" customHeight="1">
      <c r="A92" s="570"/>
      <c r="B92" s="571"/>
      <c r="C92" s="559" t="s">
        <v>1</v>
      </c>
      <c r="D92" s="1325"/>
      <c r="E92" s="1318"/>
      <c r="F92" s="1318"/>
      <c r="G92" s="1318"/>
    </row>
    <row r="93" spans="1:7" s="353" customFormat="1" ht="18" customHeight="1">
      <c r="A93" s="350"/>
      <c r="B93" s="506" t="s">
        <v>19</v>
      </c>
      <c r="C93" s="432">
        <v>5500</v>
      </c>
      <c r="D93" s="1318"/>
      <c r="E93" s="1318"/>
      <c r="F93" s="1318"/>
      <c r="G93" s="1318"/>
    </row>
    <row r="94" spans="1:7" s="353" customFormat="1" ht="21.75" customHeight="1">
      <c r="A94" s="350"/>
      <c r="B94" s="506" t="s">
        <v>20</v>
      </c>
      <c r="C94" s="432">
        <v>8800</v>
      </c>
      <c r="D94" s="1318"/>
      <c r="E94" s="1318"/>
      <c r="F94" s="1318"/>
      <c r="G94" s="1318"/>
    </row>
    <row r="95" spans="1:7" s="353" customFormat="1">
      <c r="A95" s="350"/>
      <c r="B95" s="506" t="s">
        <v>21</v>
      </c>
      <c r="C95" s="432">
        <v>8800</v>
      </c>
      <c r="D95" s="1318"/>
      <c r="E95" s="1318"/>
      <c r="F95" s="1318"/>
      <c r="G95" s="1318"/>
    </row>
    <row r="96" spans="1:7" ht="18.75" customHeight="1">
      <c r="A96" s="350"/>
      <c r="B96" s="351" t="s">
        <v>22</v>
      </c>
      <c r="C96" s="432">
        <v>8800</v>
      </c>
      <c r="D96" s="1318"/>
    </row>
    <row r="97" spans="1:4">
      <c r="A97" s="540"/>
      <c r="B97" s="548" t="s">
        <v>23</v>
      </c>
      <c r="C97" s="350"/>
      <c r="D97" s="1318"/>
    </row>
    <row r="98" spans="1:4">
      <c r="A98" s="549"/>
      <c r="B98" s="506" t="s">
        <v>24</v>
      </c>
      <c r="C98" s="432">
        <v>8800</v>
      </c>
      <c r="D98" s="1318"/>
    </row>
    <row r="99" spans="1:4">
      <c r="A99" s="540"/>
      <c r="B99" s="506" t="s">
        <v>25</v>
      </c>
      <c r="C99" s="432">
        <v>8000</v>
      </c>
      <c r="D99" s="1318"/>
    </row>
    <row r="100" spans="1:4">
      <c r="A100" s="540"/>
      <c r="B100" s="506" t="s">
        <v>26</v>
      </c>
      <c r="C100" s="432">
        <v>8000</v>
      </c>
      <c r="D100" s="1318"/>
    </row>
    <row r="101" spans="1:4" ht="21">
      <c r="A101" s="540"/>
      <c r="B101" s="507"/>
      <c r="C101" s="437">
        <f>SUM(C93:C100)</f>
        <v>56700</v>
      </c>
      <c r="D101" s="1318"/>
    </row>
    <row r="102" spans="1:4">
      <c r="A102" s="540"/>
      <c r="B102" s="507"/>
      <c r="C102" s="569"/>
      <c r="D102" s="1318"/>
    </row>
    <row r="103" spans="1:4" ht="19.5" customHeight="1">
      <c r="A103" s="1419" t="s">
        <v>4</v>
      </c>
      <c r="B103" s="1420"/>
      <c r="C103" s="551">
        <f>C19+C27+C54+C63+C74+C82+C90+C101</f>
        <v>7000000</v>
      </c>
    </row>
    <row r="104" spans="1:4" ht="19.5" customHeight="1">
      <c r="A104" s="552"/>
      <c r="B104" s="553" t="s">
        <v>55</v>
      </c>
      <c r="C104" s="554"/>
    </row>
    <row r="105" spans="1:4">
      <c r="A105" s="1421"/>
      <c r="B105" s="1422"/>
      <c r="C105" s="442"/>
    </row>
    <row r="106" spans="1:4">
      <c r="A106" s="553"/>
      <c r="B106" s="553"/>
    </row>
  </sheetData>
  <mergeCells count="8">
    <mergeCell ref="B75:C75"/>
    <mergeCell ref="A103:B103"/>
    <mergeCell ref="A105:B105"/>
    <mergeCell ref="A1:C1"/>
    <mergeCell ref="A4:C4"/>
    <mergeCell ref="A20:B20"/>
    <mergeCell ref="B55:C55"/>
    <mergeCell ref="B64:C65"/>
  </mergeCells>
  <pageMargins left="0.7" right="0.2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382"/>
  <sheetViews>
    <sheetView workbookViewId="0">
      <selection sqref="A1:C1"/>
    </sheetView>
  </sheetViews>
  <sheetFormatPr defaultColWidth="9" defaultRowHeight="18.75"/>
  <cols>
    <col min="1" max="1" width="5.375" style="96" customWidth="1"/>
    <col min="2" max="2" width="65.5" style="94" customWidth="1"/>
    <col min="3" max="3" width="15.75" style="140" customWidth="1"/>
    <col min="4" max="16384" width="9" style="94"/>
  </cols>
  <sheetData>
    <row r="1" spans="1:4" ht="21">
      <c r="A1" s="1435" t="s">
        <v>1004</v>
      </c>
      <c r="B1" s="1435"/>
      <c r="C1" s="1435"/>
    </row>
    <row r="2" spans="1:4" ht="57" thickBot="1">
      <c r="A2" s="226"/>
      <c r="B2" s="227" t="s">
        <v>185</v>
      </c>
      <c r="C2" s="228" t="s">
        <v>132</v>
      </c>
    </row>
    <row r="3" spans="1:4" ht="56.25" customHeight="1" thickBot="1">
      <c r="A3" s="229">
        <v>1</v>
      </c>
      <c r="B3" s="230" t="s">
        <v>1938</v>
      </c>
      <c r="C3" s="231">
        <v>18400</v>
      </c>
      <c r="D3" s="97"/>
    </row>
    <row r="4" spans="1:4" s="101" customFormat="1" ht="23.25" customHeight="1">
      <c r="A4" s="98"/>
      <c r="B4" s="99" t="s">
        <v>186</v>
      </c>
      <c r="C4" s="100">
        <v>5000</v>
      </c>
    </row>
    <row r="5" spans="1:4" s="105" customFormat="1" ht="21">
      <c r="A5" s="102"/>
      <c r="B5" s="103" t="s">
        <v>187</v>
      </c>
      <c r="C5" s="104">
        <v>2000</v>
      </c>
    </row>
    <row r="6" spans="1:4" s="105" customFormat="1" ht="21">
      <c r="A6" s="102"/>
      <c r="B6" s="103" t="s">
        <v>188</v>
      </c>
      <c r="C6" s="104">
        <v>10000</v>
      </c>
    </row>
    <row r="7" spans="1:4" s="105" customFormat="1" ht="21.75" thickBot="1">
      <c r="A7" s="102"/>
      <c r="B7" s="103" t="s">
        <v>189</v>
      </c>
      <c r="C7" s="104">
        <v>1400</v>
      </c>
    </row>
    <row r="8" spans="1:4" s="106" customFormat="1" ht="56.25" customHeight="1" thickBot="1">
      <c r="A8" s="232">
        <v>2</v>
      </c>
      <c r="B8" s="230" t="s">
        <v>1939</v>
      </c>
      <c r="C8" s="233">
        <f>C9+C19</f>
        <v>3243400</v>
      </c>
    </row>
    <row r="9" spans="1:4" s="105" customFormat="1" ht="21">
      <c r="A9" s="107">
        <v>2.1</v>
      </c>
      <c r="B9" s="103" t="s">
        <v>190</v>
      </c>
      <c r="C9" s="108">
        <f>SUM(C10:C18)</f>
        <v>3200000</v>
      </c>
    </row>
    <row r="10" spans="1:4" s="105" customFormat="1" ht="21">
      <c r="A10" s="102"/>
      <c r="B10" s="103" t="s">
        <v>191</v>
      </c>
      <c r="C10" s="104">
        <v>70000</v>
      </c>
    </row>
    <row r="11" spans="1:4" s="105" customFormat="1" ht="42" customHeight="1">
      <c r="A11" s="102"/>
      <c r="B11" s="109" t="s">
        <v>192</v>
      </c>
      <c r="C11" s="104">
        <v>200000</v>
      </c>
    </row>
    <row r="12" spans="1:4" s="101" customFormat="1" ht="44.25" customHeight="1">
      <c r="A12" s="110"/>
      <c r="B12" s="111" t="s">
        <v>193</v>
      </c>
      <c r="C12" s="104">
        <v>200000</v>
      </c>
    </row>
    <row r="13" spans="1:4" s="105" customFormat="1" ht="36.75" customHeight="1">
      <c r="A13" s="102"/>
      <c r="B13" s="109" t="s">
        <v>194</v>
      </c>
      <c r="C13" s="104">
        <v>200000</v>
      </c>
    </row>
    <row r="14" spans="1:4" s="105" customFormat="1" ht="39.75" customHeight="1">
      <c r="A14" s="102"/>
      <c r="B14" s="109" t="s">
        <v>195</v>
      </c>
      <c r="C14" s="104">
        <v>200000</v>
      </c>
    </row>
    <row r="15" spans="1:4" s="105" customFormat="1" ht="21">
      <c r="A15" s="102"/>
      <c r="B15" s="103" t="s">
        <v>196</v>
      </c>
      <c r="C15" s="104">
        <v>300000</v>
      </c>
    </row>
    <row r="16" spans="1:4" s="105" customFormat="1" ht="21">
      <c r="A16" s="102"/>
      <c r="B16" s="103" t="s">
        <v>197</v>
      </c>
      <c r="C16" s="104">
        <v>750000</v>
      </c>
    </row>
    <row r="17" spans="1:5" s="105" customFormat="1" ht="21">
      <c r="A17" s="102"/>
      <c r="B17" s="103" t="s">
        <v>198</v>
      </c>
      <c r="C17" s="104">
        <v>480000</v>
      </c>
    </row>
    <row r="18" spans="1:5" s="105" customFormat="1" ht="21">
      <c r="A18" s="102"/>
      <c r="B18" s="103" t="s">
        <v>199</v>
      </c>
      <c r="C18" s="104">
        <v>800000</v>
      </c>
    </row>
    <row r="19" spans="1:5" s="101" customFormat="1" ht="39" customHeight="1">
      <c r="A19" s="110">
        <v>2.2000000000000002</v>
      </c>
      <c r="B19" s="116" t="s">
        <v>1794</v>
      </c>
      <c r="C19" s="113">
        <v>43400</v>
      </c>
      <c r="E19" s="114"/>
    </row>
    <row r="20" spans="1:5" s="105" customFormat="1" ht="21">
      <c r="A20" s="102"/>
      <c r="B20" s="1326" t="s">
        <v>200</v>
      </c>
      <c r="C20" s="104">
        <v>30000</v>
      </c>
    </row>
    <row r="21" spans="1:5" s="105" customFormat="1" ht="21">
      <c r="A21" s="102"/>
      <c r="B21" s="1327" t="s">
        <v>187</v>
      </c>
      <c r="C21" s="104">
        <v>2000</v>
      </c>
    </row>
    <row r="22" spans="1:5" s="105" customFormat="1" ht="21">
      <c r="A22" s="102"/>
      <c r="B22" s="1327" t="s">
        <v>201</v>
      </c>
      <c r="C22" s="104">
        <v>10000</v>
      </c>
    </row>
    <row r="23" spans="1:5" s="105" customFormat="1" ht="21.75" thickBot="1">
      <c r="A23" s="102"/>
      <c r="B23" s="1328" t="s">
        <v>189</v>
      </c>
      <c r="C23" s="104">
        <v>1400</v>
      </c>
    </row>
    <row r="24" spans="1:5" s="106" customFormat="1" ht="23.25" customHeight="1" thickBot="1">
      <c r="A24" s="234">
        <v>3</v>
      </c>
      <c r="B24" s="235" t="s">
        <v>1940</v>
      </c>
      <c r="C24" s="236">
        <f>SUM(C25:C32)</f>
        <v>144700</v>
      </c>
    </row>
    <row r="25" spans="1:5" s="101" customFormat="1" ht="23.25" customHeight="1">
      <c r="A25" s="110"/>
      <c r="B25" s="112" t="s">
        <v>202</v>
      </c>
      <c r="C25" s="115">
        <v>15000</v>
      </c>
    </row>
    <row r="26" spans="1:5" s="105" customFormat="1" ht="21">
      <c r="A26" s="102"/>
      <c r="B26" s="103" t="s">
        <v>203</v>
      </c>
      <c r="C26" s="104">
        <v>15000</v>
      </c>
    </row>
    <row r="27" spans="1:5" s="105" customFormat="1" ht="21">
      <c r="A27" s="102"/>
      <c r="B27" s="103" t="s">
        <v>204</v>
      </c>
      <c r="C27" s="104">
        <v>75000</v>
      </c>
    </row>
    <row r="28" spans="1:5" s="105" customFormat="1" ht="21">
      <c r="A28" s="102"/>
      <c r="B28" s="103" t="s">
        <v>205</v>
      </c>
      <c r="C28" s="104">
        <v>10500</v>
      </c>
    </row>
    <row r="29" spans="1:5" s="101" customFormat="1" ht="23.25" customHeight="1">
      <c r="A29" s="110"/>
      <c r="B29" s="116" t="s">
        <v>206</v>
      </c>
      <c r="C29" s="117">
        <v>15000</v>
      </c>
    </row>
    <row r="30" spans="1:5" s="105" customFormat="1" ht="21">
      <c r="A30" s="102"/>
      <c r="B30" s="103" t="s">
        <v>207</v>
      </c>
      <c r="C30" s="104">
        <v>4800</v>
      </c>
    </row>
    <row r="31" spans="1:5" s="105" customFormat="1" ht="21">
      <c r="A31" s="102"/>
      <c r="B31" s="103" t="s">
        <v>208</v>
      </c>
      <c r="C31" s="104">
        <v>8000</v>
      </c>
    </row>
    <row r="32" spans="1:5" s="105" customFormat="1" ht="21.75" thickBot="1">
      <c r="A32" s="102"/>
      <c r="B32" s="103" t="s">
        <v>209</v>
      </c>
      <c r="C32" s="104">
        <v>1400</v>
      </c>
    </row>
    <row r="33" spans="1:3" s="106" customFormat="1" ht="36.75" customHeight="1" thickBot="1">
      <c r="A33" s="237">
        <v>4</v>
      </c>
      <c r="B33" s="230" t="s">
        <v>1941</v>
      </c>
      <c r="C33" s="236">
        <f>C34+C49+C66+C84+C99+C114+C129+C145+C160+C177+C194+C211+C226+C243+C260+C275+C290+C314+C329+C347</f>
        <v>43369600</v>
      </c>
    </row>
    <row r="34" spans="1:3" s="106" customFormat="1" ht="23.25" customHeight="1">
      <c r="A34" s="119"/>
      <c r="B34" s="120" t="s">
        <v>210</v>
      </c>
      <c r="C34" s="121">
        <v>5000000</v>
      </c>
    </row>
    <row r="35" spans="1:3" s="105" customFormat="1" ht="21">
      <c r="A35" s="102"/>
      <c r="B35" s="103" t="s">
        <v>211</v>
      </c>
      <c r="C35" s="104">
        <v>1433000</v>
      </c>
    </row>
    <row r="36" spans="1:3" s="105" customFormat="1" ht="21">
      <c r="A36" s="102"/>
      <c r="B36" s="103" t="s">
        <v>212</v>
      </c>
      <c r="C36" s="104">
        <v>150000</v>
      </c>
    </row>
    <row r="37" spans="1:3" s="105" customFormat="1" ht="21">
      <c r="A37" s="102"/>
      <c r="B37" s="103" t="s">
        <v>213</v>
      </c>
      <c r="C37" s="104">
        <v>150000</v>
      </c>
    </row>
    <row r="38" spans="1:3" s="105" customFormat="1" ht="21">
      <c r="A38" s="102"/>
      <c r="B38" s="103" t="s">
        <v>214</v>
      </c>
      <c r="C38" s="104">
        <v>750000</v>
      </c>
    </row>
    <row r="39" spans="1:3" s="105" customFormat="1" ht="21">
      <c r="A39" s="102"/>
      <c r="B39" s="103" t="s">
        <v>1853</v>
      </c>
      <c r="C39" s="104">
        <v>105000</v>
      </c>
    </row>
    <row r="40" spans="1:3" s="105" customFormat="1" ht="21">
      <c r="A40" s="102"/>
      <c r="B40" s="103" t="s">
        <v>215</v>
      </c>
      <c r="C40" s="104">
        <v>150000</v>
      </c>
    </row>
    <row r="41" spans="1:3" s="105" customFormat="1" ht="21">
      <c r="A41" s="102"/>
      <c r="B41" s="103" t="s">
        <v>216</v>
      </c>
      <c r="C41" s="104">
        <v>48000</v>
      </c>
    </row>
    <row r="42" spans="1:3" s="105" customFormat="1" ht="21">
      <c r="A42" s="102"/>
      <c r="B42" s="103" t="s">
        <v>217</v>
      </c>
      <c r="C42" s="104">
        <v>80000</v>
      </c>
    </row>
    <row r="43" spans="1:3" s="105" customFormat="1" ht="21">
      <c r="A43" s="102"/>
      <c r="B43" s="103" t="s">
        <v>218</v>
      </c>
      <c r="C43" s="104">
        <v>3567000</v>
      </c>
    </row>
    <row r="44" spans="1:3" s="105" customFormat="1" ht="21">
      <c r="A44" s="102"/>
      <c r="B44" s="103" t="s">
        <v>219</v>
      </c>
      <c r="C44" s="104">
        <v>1440000</v>
      </c>
    </row>
    <row r="45" spans="1:3" s="105" customFormat="1" ht="21">
      <c r="A45" s="102"/>
      <c r="B45" s="103" t="s">
        <v>220</v>
      </c>
      <c r="C45" s="104">
        <v>576000</v>
      </c>
    </row>
    <row r="46" spans="1:3" s="105" customFormat="1" ht="21">
      <c r="A46" s="102"/>
      <c r="B46" s="103" t="s">
        <v>221</v>
      </c>
      <c r="C46" s="104">
        <v>1500000</v>
      </c>
    </row>
    <row r="47" spans="1:3" s="105" customFormat="1" ht="21">
      <c r="A47" s="102"/>
      <c r="B47" s="103" t="s">
        <v>1854</v>
      </c>
      <c r="C47" s="104">
        <v>36000</v>
      </c>
    </row>
    <row r="48" spans="1:3" s="105" customFormat="1" ht="21">
      <c r="A48" s="102"/>
      <c r="B48" s="103" t="s">
        <v>222</v>
      </c>
      <c r="C48" s="104">
        <v>15000</v>
      </c>
    </row>
    <row r="49" spans="1:3" s="125" customFormat="1" ht="21">
      <c r="A49" s="122"/>
      <c r="B49" s="123" t="s">
        <v>223</v>
      </c>
      <c r="C49" s="124">
        <v>3000000</v>
      </c>
    </row>
    <row r="50" spans="1:3" s="105" customFormat="1" ht="42">
      <c r="A50" s="102"/>
      <c r="B50" s="109" t="s">
        <v>224</v>
      </c>
      <c r="C50" s="104">
        <v>1942000</v>
      </c>
    </row>
    <row r="51" spans="1:3" s="105" customFormat="1" ht="21">
      <c r="A51" s="102"/>
      <c r="B51" s="103" t="s">
        <v>225</v>
      </c>
      <c r="C51" s="104">
        <v>168000</v>
      </c>
    </row>
    <row r="52" spans="1:3" s="105" customFormat="1" ht="21">
      <c r="A52" s="102"/>
      <c r="B52" s="103" t="s">
        <v>226</v>
      </c>
      <c r="C52" s="104">
        <v>400000</v>
      </c>
    </row>
    <row r="53" spans="1:3" s="105" customFormat="1" ht="21">
      <c r="A53" s="102"/>
      <c r="B53" s="103" t="s">
        <v>227</v>
      </c>
      <c r="C53" s="104">
        <v>100000</v>
      </c>
    </row>
    <row r="54" spans="1:3" s="105" customFormat="1" ht="21">
      <c r="A54" s="102"/>
      <c r="B54" s="103" t="s">
        <v>1855</v>
      </c>
      <c r="C54" s="104">
        <v>200000</v>
      </c>
    </row>
    <row r="55" spans="1:3" s="105" customFormat="1" ht="21">
      <c r="A55" s="102"/>
      <c r="B55" s="103" t="s">
        <v>228</v>
      </c>
      <c r="C55" s="104">
        <v>1000000</v>
      </c>
    </row>
    <row r="56" spans="1:3" s="105" customFormat="1" ht="21">
      <c r="A56" s="102"/>
      <c r="B56" s="103" t="s">
        <v>229</v>
      </c>
      <c r="C56" s="104">
        <v>24000</v>
      </c>
    </row>
    <row r="57" spans="1:3" s="105" customFormat="1" ht="21">
      <c r="A57" s="102"/>
      <c r="B57" s="103" t="s">
        <v>230</v>
      </c>
      <c r="C57" s="104">
        <v>50000</v>
      </c>
    </row>
    <row r="58" spans="1:3" s="105" customFormat="1" ht="42">
      <c r="A58" s="102"/>
      <c r="B58" s="109" t="s">
        <v>231</v>
      </c>
      <c r="C58" s="104">
        <v>1058000</v>
      </c>
    </row>
    <row r="59" spans="1:3" s="105" customFormat="1" ht="21">
      <c r="A59" s="102"/>
      <c r="B59" s="103" t="s">
        <v>232</v>
      </c>
      <c r="C59" s="104">
        <v>144000</v>
      </c>
    </row>
    <row r="60" spans="1:3" s="105" customFormat="1" ht="21">
      <c r="A60" s="102"/>
      <c r="B60" s="103" t="s">
        <v>233</v>
      </c>
      <c r="C60" s="104">
        <v>400000</v>
      </c>
    </row>
    <row r="61" spans="1:3" s="105" customFormat="1" ht="21">
      <c r="A61" s="102"/>
      <c r="B61" s="103" t="s">
        <v>234</v>
      </c>
      <c r="C61" s="104">
        <v>192000</v>
      </c>
    </row>
    <row r="62" spans="1:3" s="105" customFormat="1" ht="21">
      <c r="A62" s="102"/>
      <c r="B62" s="103" t="s">
        <v>1856</v>
      </c>
      <c r="C62" s="104">
        <v>160000</v>
      </c>
    </row>
    <row r="63" spans="1:3" s="105" customFormat="1" ht="21">
      <c r="A63" s="102"/>
      <c r="B63" s="103" t="s">
        <v>235</v>
      </c>
      <c r="C63" s="104">
        <v>30000</v>
      </c>
    </row>
    <row r="64" spans="1:3" s="105" customFormat="1" ht="21">
      <c r="A64" s="102"/>
      <c r="B64" s="103" t="s">
        <v>236</v>
      </c>
      <c r="C64" s="104">
        <v>90000</v>
      </c>
    </row>
    <row r="65" spans="1:3" s="105" customFormat="1" ht="21">
      <c r="A65" s="102"/>
      <c r="B65" s="103" t="s">
        <v>237</v>
      </c>
      <c r="C65" s="104">
        <v>42000</v>
      </c>
    </row>
    <row r="66" spans="1:3" s="125" customFormat="1" ht="21">
      <c r="A66" s="122"/>
      <c r="B66" s="123" t="s">
        <v>238</v>
      </c>
      <c r="C66" s="124">
        <v>2000000</v>
      </c>
    </row>
    <row r="67" spans="1:3" s="105" customFormat="1" ht="21">
      <c r="A67" s="102"/>
      <c r="B67" s="103" t="s">
        <v>239</v>
      </c>
      <c r="C67" s="104">
        <v>948000</v>
      </c>
    </row>
    <row r="68" spans="1:3" s="105" customFormat="1" ht="21">
      <c r="A68" s="102"/>
      <c r="B68" s="103" t="s">
        <v>240</v>
      </c>
      <c r="C68" s="104">
        <v>100000</v>
      </c>
    </row>
    <row r="69" spans="1:3" s="105" customFormat="1" ht="21">
      <c r="A69" s="102"/>
      <c r="B69" s="103" t="s">
        <v>241</v>
      </c>
      <c r="C69" s="104">
        <v>100000</v>
      </c>
    </row>
    <row r="70" spans="1:3" s="105" customFormat="1" ht="21">
      <c r="A70" s="102"/>
      <c r="B70" s="103" t="s">
        <v>242</v>
      </c>
      <c r="C70" s="104">
        <v>500000</v>
      </c>
    </row>
    <row r="71" spans="1:3" s="105" customFormat="1" ht="21">
      <c r="A71" s="102"/>
      <c r="B71" s="103" t="s">
        <v>1786</v>
      </c>
      <c r="C71" s="104">
        <v>70000</v>
      </c>
    </row>
    <row r="72" spans="1:3" s="105" customFormat="1" ht="21">
      <c r="A72" s="102"/>
      <c r="B72" s="103" t="s">
        <v>243</v>
      </c>
      <c r="C72" s="104">
        <v>50000</v>
      </c>
    </row>
    <row r="73" spans="1:3" s="105" customFormat="1" ht="21">
      <c r="A73" s="102"/>
      <c r="B73" s="103" t="s">
        <v>244</v>
      </c>
      <c r="C73" s="104">
        <v>48000</v>
      </c>
    </row>
    <row r="74" spans="1:3" s="105" customFormat="1" ht="21">
      <c r="A74" s="102"/>
      <c r="B74" s="103" t="s">
        <v>217</v>
      </c>
      <c r="C74" s="104">
        <v>80000</v>
      </c>
    </row>
    <row r="75" spans="1:3" s="105" customFormat="1" ht="21">
      <c r="A75" s="102"/>
      <c r="B75" s="103" t="s">
        <v>245</v>
      </c>
      <c r="C75" s="104">
        <v>1006000</v>
      </c>
    </row>
    <row r="76" spans="1:3" s="105" customFormat="1" ht="21">
      <c r="A76" s="102"/>
      <c r="B76" s="103" t="s">
        <v>246</v>
      </c>
      <c r="C76" s="104">
        <v>120000</v>
      </c>
    </row>
    <row r="77" spans="1:3" s="105" customFormat="1" ht="21">
      <c r="A77" s="102"/>
      <c r="B77" s="103" t="s">
        <v>247</v>
      </c>
      <c r="C77" s="104">
        <v>200000</v>
      </c>
    </row>
    <row r="78" spans="1:3" s="105" customFormat="1" ht="21">
      <c r="A78" s="102"/>
      <c r="B78" s="103" t="s">
        <v>248</v>
      </c>
      <c r="C78" s="104">
        <v>336000</v>
      </c>
    </row>
    <row r="79" spans="1:3" s="105" customFormat="1" ht="21">
      <c r="A79" s="102"/>
      <c r="B79" s="103" t="s">
        <v>1787</v>
      </c>
      <c r="C79" s="104">
        <v>320000</v>
      </c>
    </row>
    <row r="80" spans="1:3" s="105" customFormat="1" ht="21">
      <c r="A80" s="102"/>
      <c r="B80" s="103" t="s">
        <v>249</v>
      </c>
      <c r="C80" s="104">
        <v>30000</v>
      </c>
    </row>
    <row r="81" spans="1:3" s="105" customFormat="1" ht="21">
      <c r="A81" s="102"/>
      <c r="B81" s="103" t="s">
        <v>1788</v>
      </c>
      <c r="C81" s="104">
        <v>46000</v>
      </c>
    </row>
    <row r="82" spans="1:3" s="105" customFormat="1" ht="21">
      <c r="A82" s="102"/>
      <c r="B82" s="103" t="s">
        <v>251</v>
      </c>
      <c r="C82" s="104">
        <v>27000</v>
      </c>
    </row>
    <row r="83" spans="1:3" s="105" customFormat="1" ht="21">
      <c r="A83" s="102"/>
      <c r="B83" s="103" t="s">
        <v>252</v>
      </c>
      <c r="C83" s="104">
        <v>19000</v>
      </c>
    </row>
    <row r="84" spans="1:3" s="125" customFormat="1" ht="21">
      <c r="A84" s="122"/>
      <c r="B84" s="123" t="s">
        <v>253</v>
      </c>
      <c r="C84" s="124">
        <v>1000000</v>
      </c>
    </row>
    <row r="85" spans="1:3" s="105" customFormat="1" ht="21">
      <c r="A85" s="102"/>
      <c r="B85" s="103" t="s">
        <v>254</v>
      </c>
      <c r="C85" s="104">
        <v>286600</v>
      </c>
    </row>
    <row r="86" spans="1:3" s="105" customFormat="1" ht="21">
      <c r="A86" s="102"/>
      <c r="B86" s="103" t="s">
        <v>255</v>
      </c>
      <c r="C86" s="104">
        <v>30000</v>
      </c>
    </row>
    <row r="87" spans="1:3" s="105" customFormat="1" ht="21">
      <c r="A87" s="102"/>
      <c r="B87" s="103" t="s">
        <v>256</v>
      </c>
      <c r="C87" s="104">
        <v>30000</v>
      </c>
    </row>
    <row r="88" spans="1:3" s="105" customFormat="1" ht="21">
      <c r="A88" s="102"/>
      <c r="B88" s="103" t="s">
        <v>257</v>
      </c>
      <c r="C88" s="104">
        <v>150000</v>
      </c>
    </row>
    <row r="89" spans="1:3" s="105" customFormat="1" ht="21">
      <c r="A89" s="102"/>
      <c r="B89" s="103" t="s">
        <v>1789</v>
      </c>
      <c r="C89" s="104">
        <v>21000</v>
      </c>
    </row>
    <row r="90" spans="1:3" s="105" customFormat="1" ht="21">
      <c r="A90" s="102"/>
      <c r="B90" s="103" t="s">
        <v>259</v>
      </c>
      <c r="C90" s="104">
        <v>30000</v>
      </c>
    </row>
    <row r="91" spans="1:3" s="105" customFormat="1" ht="21">
      <c r="A91" s="102"/>
      <c r="B91" s="103" t="s">
        <v>260</v>
      </c>
      <c r="C91" s="104">
        <v>9600</v>
      </c>
    </row>
    <row r="92" spans="1:3" s="105" customFormat="1" ht="21">
      <c r="A92" s="102"/>
      <c r="B92" s="103" t="s">
        <v>261</v>
      </c>
      <c r="C92" s="104">
        <v>16000</v>
      </c>
    </row>
    <row r="93" spans="1:3" s="105" customFormat="1" ht="21">
      <c r="A93" s="102"/>
      <c r="B93" s="103" t="s">
        <v>262</v>
      </c>
      <c r="C93" s="104">
        <v>713400</v>
      </c>
    </row>
    <row r="94" spans="1:3" s="105" customFormat="1" ht="21">
      <c r="A94" s="102"/>
      <c r="B94" s="103" t="s">
        <v>263</v>
      </c>
      <c r="C94" s="104">
        <v>288000</v>
      </c>
    </row>
    <row r="95" spans="1:3" s="105" customFormat="1" ht="21">
      <c r="A95" s="102"/>
      <c r="B95" s="103" t="s">
        <v>264</v>
      </c>
      <c r="C95" s="104">
        <v>115200</v>
      </c>
    </row>
    <row r="96" spans="1:3" s="105" customFormat="1" ht="21">
      <c r="A96" s="102"/>
      <c r="B96" s="103" t="s">
        <v>265</v>
      </c>
      <c r="C96" s="104">
        <v>300000</v>
      </c>
    </row>
    <row r="97" spans="1:3" s="105" customFormat="1" ht="24" customHeight="1">
      <c r="A97" s="102"/>
      <c r="B97" s="103" t="s">
        <v>1790</v>
      </c>
      <c r="C97" s="104">
        <v>7200</v>
      </c>
    </row>
    <row r="98" spans="1:3" s="105" customFormat="1" ht="21">
      <c r="A98" s="102"/>
      <c r="B98" s="103" t="s">
        <v>266</v>
      </c>
      <c r="C98" s="104">
        <v>3000</v>
      </c>
    </row>
    <row r="99" spans="1:3" s="125" customFormat="1" ht="21">
      <c r="A99" s="122"/>
      <c r="B99" s="123" t="s">
        <v>1791</v>
      </c>
      <c r="C99" s="124">
        <v>1000000</v>
      </c>
    </row>
    <row r="100" spans="1:3" s="105" customFormat="1" ht="21">
      <c r="A100" s="102"/>
      <c r="B100" s="103" t="s">
        <v>267</v>
      </c>
      <c r="C100" s="104">
        <v>286600</v>
      </c>
    </row>
    <row r="101" spans="1:3" s="105" customFormat="1" ht="21">
      <c r="A101" s="102"/>
      <c r="B101" s="103" t="s">
        <v>255</v>
      </c>
      <c r="C101" s="104">
        <v>30000</v>
      </c>
    </row>
    <row r="102" spans="1:3" s="101" customFormat="1" ht="23.25" customHeight="1">
      <c r="A102" s="102"/>
      <c r="B102" s="103" t="s">
        <v>256</v>
      </c>
      <c r="C102" s="104">
        <v>30000</v>
      </c>
    </row>
    <row r="103" spans="1:3" s="105" customFormat="1" ht="21">
      <c r="A103" s="102"/>
      <c r="B103" s="103" t="s">
        <v>257</v>
      </c>
      <c r="C103" s="104">
        <v>150000</v>
      </c>
    </row>
    <row r="104" spans="1:3" s="106" customFormat="1" ht="22.5" customHeight="1">
      <c r="A104" s="102"/>
      <c r="B104" s="103" t="s">
        <v>1789</v>
      </c>
      <c r="C104" s="104">
        <v>21000</v>
      </c>
    </row>
    <row r="105" spans="1:3" s="105" customFormat="1" ht="21">
      <c r="A105" s="102"/>
      <c r="B105" s="103" t="s">
        <v>259</v>
      </c>
      <c r="C105" s="104">
        <v>30000</v>
      </c>
    </row>
    <row r="106" spans="1:3" s="105" customFormat="1" ht="21">
      <c r="A106" s="102"/>
      <c r="B106" s="103" t="s">
        <v>260</v>
      </c>
      <c r="C106" s="104">
        <v>9600</v>
      </c>
    </row>
    <row r="107" spans="1:3" s="105" customFormat="1" ht="21">
      <c r="A107" s="102"/>
      <c r="B107" s="103" t="s">
        <v>261</v>
      </c>
      <c r="C107" s="104">
        <v>16000</v>
      </c>
    </row>
    <row r="108" spans="1:3" s="105" customFormat="1" ht="21">
      <c r="A108" s="102"/>
      <c r="B108" s="103" t="s">
        <v>268</v>
      </c>
      <c r="C108" s="104">
        <v>713400</v>
      </c>
    </row>
    <row r="109" spans="1:3" s="106" customFormat="1" ht="20.25" customHeight="1">
      <c r="A109" s="102"/>
      <c r="B109" s="103" t="s">
        <v>263</v>
      </c>
      <c r="C109" s="104">
        <v>288000</v>
      </c>
    </row>
    <row r="110" spans="1:3" s="106" customFormat="1" ht="21" customHeight="1">
      <c r="A110" s="102"/>
      <c r="B110" s="103" t="s">
        <v>264</v>
      </c>
      <c r="C110" s="104">
        <v>115200</v>
      </c>
    </row>
    <row r="111" spans="1:3" s="105" customFormat="1" ht="21">
      <c r="A111" s="102"/>
      <c r="B111" s="103" t="s">
        <v>265</v>
      </c>
      <c r="C111" s="104">
        <v>300000</v>
      </c>
    </row>
    <row r="112" spans="1:3" s="105" customFormat="1" ht="21">
      <c r="A112" s="102"/>
      <c r="B112" s="103" t="s">
        <v>1792</v>
      </c>
      <c r="C112" s="104">
        <v>7200</v>
      </c>
    </row>
    <row r="113" spans="1:3" s="105" customFormat="1" ht="21">
      <c r="A113" s="102"/>
      <c r="B113" s="103" t="s">
        <v>266</v>
      </c>
      <c r="C113" s="104">
        <v>3000</v>
      </c>
    </row>
    <row r="114" spans="1:3" s="125" customFormat="1" ht="21">
      <c r="A114" s="122"/>
      <c r="B114" s="123" t="s">
        <v>269</v>
      </c>
      <c r="C114" s="124">
        <v>1000000</v>
      </c>
    </row>
    <row r="115" spans="1:3" s="105" customFormat="1" ht="21">
      <c r="A115" s="102"/>
      <c r="B115" s="103" t="s">
        <v>270</v>
      </c>
      <c r="C115" s="104">
        <v>286600</v>
      </c>
    </row>
    <row r="116" spans="1:3" s="105" customFormat="1" ht="21">
      <c r="A116" s="102"/>
      <c r="B116" s="103" t="s">
        <v>271</v>
      </c>
      <c r="C116" s="104">
        <v>30000</v>
      </c>
    </row>
    <row r="117" spans="1:3" s="105" customFormat="1" ht="21">
      <c r="A117" s="102"/>
      <c r="B117" s="103" t="s">
        <v>256</v>
      </c>
      <c r="C117" s="104">
        <v>30000</v>
      </c>
    </row>
    <row r="118" spans="1:3" s="105" customFormat="1" ht="21">
      <c r="A118" s="102"/>
      <c r="B118" s="103" t="s">
        <v>257</v>
      </c>
      <c r="C118" s="104">
        <v>150000</v>
      </c>
    </row>
    <row r="119" spans="1:3" s="105" customFormat="1" ht="21">
      <c r="A119" s="102"/>
      <c r="B119" s="103" t="s">
        <v>1789</v>
      </c>
      <c r="C119" s="104">
        <v>21000</v>
      </c>
    </row>
    <row r="120" spans="1:3" s="105" customFormat="1" ht="21">
      <c r="A120" s="102"/>
      <c r="B120" s="103" t="s">
        <v>259</v>
      </c>
      <c r="C120" s="104">
        <v>30000</v>
      </c>
    </row>
    <row r="121" spans="1:3" s="105" customFormat="1" ht="21">
      <c r="A121" s="102"/>
      <c r="B121" s="103" t="s">
        <v>260</v>
      </c>
      <c r="C121" s="104">
        <v>9600</v>
      </c>
    </row>
    <row r="122" spans="1:3" s="105" customFormat="1" ht="21">
      <c r="A122" s="102"/>
      <c r="B122" s="103" t="s">
        <v>261</v>
      </c>
      <c r="C122" s="104">
        <v>16000</v>
      </c>
    </row>
    <row r="123" spans="1:3" s="105" customFormat="1" ht="21">
      <c r="A123" s="102"/>
      <c r="B123" s="103" t="s">
        <v>272</v>
      </c>
      <c r="C123" s="104">
        <v>713400</v>
      </c>
    </row>
    <row r="124" spans="1:3" s="105" customFormat="1" ht="21">
      <c r="A124" s="102"/>
      <c r="B124" s="103" t="s">
        <v>263</v>
      </c>
      <c r="C124" s="104">
        <v>288000</v>
      </c>
    </row>
    <row r="125" spans="1:3" s="105" customFormat="1" ht="21">
      <c r="A125" s="102"/>
      <c r="B125" s="103" t="s">
        <v>264</v>
      </c>
      <c r="C125" s="104">
        <v>115200</v>
      </c>
    </row>
    <row r="126" spans="1:3" s="105" customFormat="1" ht="21">
      <c r="A126" s="102"/>
      <c r="B126" s="103" t="s">
        <v>265</v>
      </c>
      <c r="C126" s="104">
        <v>300000</v>
      </c>
    </row>
    <row r="127" spans="1:3" s="105" customFormat="1" ht="21">
      <c r="A127" s="102"/>
      <c r="B127" s="103" t="s">
        <v>1793</v>
      </c>
      <c r="C127" s="104">
        <v>7200</v>
      </c>
    </row>
    <row r="128" spans="1:3" s="105" customFormat="1" ht="21">
      <c r="A128" s="102"/>
      <c r="B128" s="103" t="s">
        <v>266</v>
      </c>
      <c r="C128" s="104">
        <v>3000</v>
      </c>
    </row>
    <row r="129" spans="1:3" s="125" customFormat="1" ht="21">
      <c r="A129" s="122"/>
      <c r="B129" s="123" t="s">
        <v>273</v>
      </c>
      <c r="C129" s="124">
        <v>12000000</v>
      </c>
    </row>
    <row r="130" spans="1:3" s="105" customFormat="1" ht="21">
      <c r="A130" s="102"/>
      <c r="B130" s="103" t="s">
        <v>274</v>
      </c>
      <c r="C130" s="104">
        <v>286600</v>
      </c>
    </row>
    <row r="131" spans="1:3" s="105" customFormat="1" ht="21">
      <c r="A131" s="102"/>
      <c r="B131" s="103" t="s">
        <v>275</v>
      </c>
      <c r="C131" s="104">
        <v>30000</v>
      </c>
    </row>
    <row r="132" spans="1:3" s="105" customFormat="1" ht="21">
      <c r="A132" s="102"/>
      <c r="B132" s="103" t="s">
        <v>256</v>
      </c>
      <c r="C132" s="104">
        <v>30000</v>
      </c>
    </row>
    <row r="133" spans="1:3" s="105" customFormat="1" ht="21">
      <c r="A133" s="102"/>
      <c r="B133" s="103" t="s">
        <v>257</v>
      </c>
      <c r="C133" s="104">
        <v>150000</v>
      </c>
    </row>
    <row r="134" spans="1:3" s="105" customFormat="1" ht="21">
      <c r="A134" s="102"/>
      <c r="B134" s="103" t="s">
        <v>1789</v>
      </c>
      <c r="C134" s="104">
        <v>21000</v>
      </c>
    </row>
    <row r="135" spans="1:3" s="105" customFormat="1" ht="21">
      <c r="A135" s="102"/>
      <c r="B135" s="103" t="s">
        <v>259</v>
      </c>
      <c r="C135" s="104">
        <v>30000</v>
      </c>
    </row>
    <row r="136" spans="1:3" s="105" customFormat="1" ht="21">
      <c r="A136" s="102"/>
      <c r="B136" s="103" t="s">
        <v>260</v>
      </c>
      <c r="C136" s="104">
        <v>9600</v>
      </c>
    </row>
    <row r="137" spans="1:3" s="105" customFormat="1" ht="21">
      <c r="A137" s="102"/>
      <c r="B137" s="103" t="s">
        <v>261</v>
      </c>
      <c r="C137" s="104">
        <v>16000</v>
      </c>
    </row>
    <row r="138" spans="1:3" s="105" customFormat="1" ht="21">
      <c r="A138" s="102"/>
      <c r="B138" s="103" t="s">
        <v>276</v>
      </c>
      <c r="C138" s="104">
        <v>713400</v>
      </c>
    </row>
    <row r="139" spans="1:3" s="105" customFormat="1" ht="21">
      <c r="A139" s="102"/>
      <c r="B139" s="103" t="s">
        <v>263</v>
      </c>
      <c r="C139" s="104">
        <v>288000</v>
      </c>
    </row>
    <row r="140" spans="1:3" s="105" customFormat="1" ht="21">
      <c r="A140" s="102"/>
      <c r="B140" s="103" t="s">
        <v>264</v>
      </c>
      <c r="C140" s="104">
        <v>115200</v>
      </c>
    </row>
    <row r="141" spans="1:3" s="105" customFormat="1" ht="21">
      <c r="A141" s="102"/>
      <c r="B141" s="103" t="s">
        <v>265</v>
      </c>
      <c r="C141" s="104">
        <v>300000</v>
      </c>
    </row>
    <row r="142" spans="1:3" s="105" customFormat="1" ht="21">
      <c r="A142" s="102"/>
      <c r="B142" s="103" t="s">
        <v>1857</v>
      </c>
      <c r="C142" s="104">
        <v>7200</v>
      </c>
    </row>
    <row r="143" spans="1:3" s="105" customFormat="1" ht="21">
      <c r="A143" s="102"/>
      <c r="B143" s="103" t="s">
        <v>266</v>
      </c>
      <c r="C143" s="104">
        <v>3000</v>
      </c>
    </row>
    <row r="144" spans="1:3" s="105" customFormat="1" ht="21">
      <c r="A144" s="102"/>
      <c r="B144" s="103" t="s">
        <v>277</v>
      </c>
      <c r="C144" s="104">
        <v>11000000</v>
      </c>
    </row>
    <row r="145" spans="1:3" s="125" customFormat="1" ht="21">
      <c r="A145" s="122"/>
      <c r="B145" s="123" t="s">
        <v>278</v>
      </c>
      <c r="C145" s="124">
        <v>1000000</v>
      </c>
    </row>
    <row r="146" spans="1:3" s="105" customFormat="1" ht="21">
      <c r="A146" s="102"/>
      <c r="B146" s="103" t="s">
        <v>279</v>
      </c>
      <c r="C146" s="104">
        <v>286600</v>
      </c>
    </row>
    <row r="147" spans="1:3" s="105" customFormat="1" ht="21">
      <c r="A147" s="102"/>
      <c r="B147" s="103" t="s">
        <v>280</v>
      </c>
      <c r="C147" s="104">
        <v>30000</v>
      </c>
    </row>
    <row r="148" spans="1:3" s="105" customFormat="1" ht="21">
      <c r="A148" s="102"/>
      <c r="B148" s="103" t="s">
        <v>256</v>
      </c>
      <c r="C148" s="104">
        <v>30000</v>
      </c>
    </row>
    <row r="149" spans="1:3" s="105" customFormat="1" ht="21">
      <c r="A149" s="102"/>
      <c r="B149" s="103" t="s">
        <v>257</v>
      </c>
      <c r="C149" s="104">
        <v>150000</v>
      </c>
    </row>
    <row r="150" spans="1:3" s="105" customFormat="1" ht="21">
      <c r="A150" s="102"/>
      <c r="B150" s="103" t="s">
        <v>1789</v>
      </c>
      <c r="C150" s="104">
        <v>21000</v>
      </c>
    </row>
    <row r="151" spans="1:3" s="105" customFormat="1" ht="21">
      <c r="A151" s="102"/>
      <c r="B151" s="103" t="s">
        <v>259</v>
      </c>
      <c r="C151" s="104">
        <v>30000</v>
      </c>
    </row>
    <row r="152" spans="1:3" s="105" customFormat="1" ht="21">
      <c r="A152" s="102"/>
      <c r="B152" s="103" t="s">
        <v>260</v>
      </c>
      <c r="C152" s="104">
        <v>9600</v>
      </c>
    </row>
    <row r="153" spans="1:3" s="105" customFormat="1" ht="21">
      <c r="A153" s="102"/>
      <c r="B153" s="103" t="s">
        <v>261</v>
      </c>
      <c r="C153" s="104">
        <v>16000</v>
      </c>
    </row>
    <row r="154" spans="1:3" s="105" customFormat="1" ht="21">
      <c r="A154" s="102"/>
      <c r="B154" s="103" t="s">
        <v>281</v>
      </c>
      <c r="C154" s="104">
        <v>713400</v>
      </c>
    </row>
    <row r="155" spans="1:3" s="105" customFormat="1" ht="21">
      <c r="A155" s="102"/>
      <c r="B155" s="103" t="s">
        <v>263</v>
      </c>
      <c r="C155" s="104">
        <v>288000</v>
      </c>
    </row>
    <row r="156" spans="1:3" s="105" customFormat="1" ht="21">
      <c r="A156" s="102"/>
      <c r="B156" s="103" t="s">
        <v>264</v>
      </c>
      <c r="C156" s="104">
        <v>115200</v>
      </c>
    </row>
    <row r="157" spans="1:3" s="105" customFormat="1" ht="21">
      <c r="A157" s="102"/>
      <c r="B157" s="103" t="s">
        <v>265</v>
      </c>
      <c r="C157" s="104">
        <v>300000</v>
      </c>
    </row>
    <row r="158" spans="1:3" s="105" customFormat="1" ht="21">
      <c r="A158" s="102"/>
      <c r="B158" s="103" t="s">
        <v>1858</v>
      </c>
      <c r="C158" s="104">
        <v>7200</v>
      </c>
    </row>
    <row r="159" spans="1:3" s="105" customFormat="1" ht="21">
      <c r="A159" s="102"/>
      <c r="B159" s="103" t="s">
        <v>266</v>
      </c>
      <c r="C159" s="104">
        <v>3000</v>
      </c>
    </row>
    <row r="160" spans="1:3" s="125" customFormat="1" ht="21">
      <c r="A160" s="122"/>
      <c r="B160" s="123" t="s">
        <v>282</v>
      </c>
      <c r="C160" s="124">
        <v>1500000</v>
      </c>
    </row>
    <row r="161" spans="1:3" s="105" customFormat="1" ht="21">
      <c r="A161" s="102"/>
      <c r="B161" s="103" t="s">
        <v>283</v>
      </c>
      <c r="C161" s="104">
        <v>971000</v>
      </c>
    </row>
    <row r="162" spans="1:3" s="105" customFormat="1" ht="21">
      <c r="A162" s="102"/>
      <c r="B162" s="103" t="s">
        <v>284</v>
      </c>
      <c r="C162" s="104">
        <v>84000</v>
      </c>
    </row>
    <row r="163" spans="1:3" s="105" customFormat="1" ht="21">
      <c r="A163" s="102"/>
      <c r="B163" s="103" t="s">
        <v>285</v>
      </c>
      <c r="C163" s="104">
        <v>200000</v>
      </c>
    </row>
    <row r="164" spans="1:3" s="105" customFormat="1" ht="21">
      <c r="A164" s="102"/>
      <c r="B164" s="103" t="s">
        <v>286</v>
      </c>
      <c r="C164" s="104">
        <v>50000</v>
      </c>
    </row>
    <row r="165" spans="1:3" s="105" customFormat="1" ht="21">
      <c r="A165" s="102"/>
      <c r="B165" s="103" t="s">
        <v>1859</v>
      </c>
      <c r="C165" s="104">
        <v>100000</v>
      </c>
    </row>
    <row r="166" spans="1:3" s="105" customFormat="1" ht="21">
      <c r="A166" s="102"/>
      <c r="B166" s="103" t="s">
        <v>288</v>
      </c>
      <c r="C166" s="104">
        <v>500000</v>
      </c>
    </row>
    <row r="167" spans="1:3" s="105" customFormat="1" ht="21">
      <c r="A167" s="102"/>
      <c r="B167" s="103" t="s">
        <v>289</v>
      </c>
      <c r="C167" s="104">
        <v>12000</v>
      </c>
    </row>
    <row r="168" spans="1:3" s="105" customFormat="1" ht="21">
      <c r="A168" s="102"/>
      <c r="B168" s="103" t="s">
        <v>290</v>
      </c>
      <c r="C168" s="104">
        <v>25000</v>
      </c>
    </row>
    <row r="169" spans="1:3" s="105" customFormat="1" ht="21">
      <c r="A169" s="102"/>
      <c r="B169" s="103" t="s">
        <v>291</v>
      </c>
      <c r="C169" s="104">
        <v>529000</v>
      </c>
    </row>
    <row r="170" spans="1:3" s="105" customFormat="1" ht="21">
      <c r="A170" s="102"/>
      <c r="B170" s="103" t="s">
        <v>292</v>
      </c>
      <c r="C170" s="104">
        <v>72000</v>
      </c>
    </row>
    <row r="171" spans="1:3" s="105" customFormat="1" ht="21">
      <c r="A171" s="102"/>
      <c r="B171" s="103" t="s">
        <v>247</v>
      </c>
      <c r="C171" s="104">
        <v>200000</v>
      </c>
    </row>
    <row r="172" spans="1:3" s="105" customFormat="1" ht="21">
      <c r="A172" s="102"/>
      <c r="B172" s="103" t="s">
        <v>293</v>
      </c>
      <c r="C172" s="104">
        <v>96000</v>
      </c>
    </row>
    <row r="173" spans="1:3" s="105" customFormat="1" ht="21">
      <c r="A173" s="102"/>
      <c r="B173" s="103" t="s">
        <v>1796</v>
      </c>
      <c r="C173" s="104">
        <v>80000</v>
      </c>
    </row>
    <row r="174" spans="1:3" s="105" customFormat="1" ht="21">
      <c r="A174" s="102"/>
      <c r="B174" s="103" t="s">
        <v>295</v>
      </c>
      <c r="C174" s="104">
        <v>15000</v>
      </c>
    </row>
    <row r="175" spans="1:3" s="105" customFormat="1" ht="21">
      <c r="A175" s="102"/>
      <c r="B175" s="103" t="s">
        <v>296</v>
      </c>
      <c r="C175" s="104">
        <v>45000</v>
      </c>
    </row>
    <row r="176" spans="1:3" s="105" customFormat="1" ht="21">
      <c r="A176" s="102"/>
      <c r="B176" s="103" t="s">
        <v>297</v>
      </c>
      <c r="C176" s="104">
        <v>21000</v>
      </c>
    </row>
    <row r="177" spans="1:3" s="125" customFormat="1" ht="21">
      <c r="A177" s="122"/>
      <c r="B177" s="123" t="s">
        <v>298</v>
      </c>
      <c r="C177" s="124">
        <v>1500000</v>
      </c>
    </row>
    <row r="178" spans="1:3" s="105" customFormat="1" ht="21">
      <c r="A178" s="102"/>
      <c r="B178" s="103" t="s">
        <v>279</v>
      </c>
      <c r="C178" s="104">
        <v>971000</v>
      </c>
    </row>
    <row r="179" spans="1:3" s="105" customFormat="1" ht="21">
      <c r="A179" s="102"/>
      <c r="B179" s="103" t="s">
        <v>284</v>
      </c>
      <c r="C179" s="104">
        <v>84000</v>
      </c>
    </row>
    <row r="180" spans="1:3" s="105" customFormat="1" ht="21">
      <c r="A180" s="102"/>
      <c r="B180" s="103" t="s">
        <v>285</v>
      </c>
      <c r="C180" s="104">
        <v>200000</v>
      </c>
    </row>
    <row r="181" spans="1:3" s="105" customFormat="1" ht="21">
      <c r="A181" s="102"/>
      <c r="B181" s="103" t="s">
        <v>286</v>
      </c>
      <c r="C181" s="104">
        <v>50000</v>
      </c>
    </row>
    <row r="182" spans="1:3" s="105" customFormat="1" ht="21">
      <c r="A182" s="102"/>
      <c r="B182" s="103" t="s">
        <v>1859</v>
      </c>
      <c r="C182" s="104">
        <v>100000</v>
      </c>
    </row>
    <row r="183" spans="1:3" s="105" customFormat="1" ht="21">
      <c r="A183" s="102"/>
      <c r="B183" s="103" t="s">
        <v>288</v>
      </c>
      <c r="C183" s="104">
        <v>500000</v>
      </c>
    </row>
    <row r="184" spans="1:3" s="105" customFormat="1" ht="21">
      <c r="A184" s="102"/>
      <c r="B184" s="103" t="s">
        <v>289</v>
      </c>
      <c r="C184" s="104">
        <v>12000</v>
      </c>
    </row>
    <row r="185" spans="1:3" s="105" customFormat="1" ht="21">
      <c r="A185" s="102"/>
      <c r="B185" s="103" t="s">
        <v>290</v>
      </c>
      <c r="C185" s="104">
        <v>25000</v>
      </c>
    </row>
    <row r="186" spans="1:3" s="105" customFormat="1" ht="21">
      <c r="A186" s="102"/>
      <c r="B186" s="103" t="s">
        <v>299</v>
      </c>
      <c r="C186" s="104">
        <v>529000</v>
      </c>
    </row>
    <row r="187" spans="1:3" s="105" customFormat="1" ht="21">
      <c r="A187" s="102"/>
      <c r="B187" s="103" t="s">
        <v>292</v>
      </c>
      <c r="C187" s="104">
        <v>72000</v>
      </c>
    </row>
    <row r="188" spans="1:3" s="105" customFormat="1" ht="21">
      <c r="A188" s="102"/>
      <c r="B188" s="103" t="s">
        <v>247</v>
      </c>
      <c r="C188" s="104">
        <v>200000</v>
      </c>
    </row>
    <row r="189" spans="1:3" s="105" customFormat="1" ht="21">
      <c r="A189" s="102"/>
      <c r="B189" s="103" t="s">
        <v>293</v>
      </c>
      <c r="C189" s="104">
        <v>96000</v>
      </c>
    </row>
    <row r="190" spans="1:3" s="105" customFormat="1" ht="21">
      <c r="A190" s="102"/>
      <c r="B190" s="103" t="s">
        <v>294</v>
      </c>
      <c r="C190" s="104">
        <v>80000</v>
      </c>
    </row>
    <row r="191" spans="1:3" s="105" customFormat="1" ht="21">
      <c r="A191" s="102"/>
      <c r="B191" s="103" t="s">
        <v>295</v>
      </c>
      <c r="C191" s="104">
        <v>15000</v>
      </c>
    </row>
    <row r="192" spans="1:3" s="105" customFormat="1" ht="21">
      <c r="A192" s="102"/>
      <c r="B192" s="103" t="s">
        <v>300</v>
      </c>
      <c r="C192" s="104">
        <v>45000</v>
      </c>
    </row>
    <row r="193" spans="1:3" s="105" customFormat="1" ht="21">
      <c r="A193" s="102"/>
      <c r="B193" s="103" t="s">
        <v>297</v>
      </c>
      <c r="C193" s="104">
        <v>21000</v>
      </c>
    </row>
    <row r="194" spans="1:3" s="125" customFormat="1" ht="21">
      <c r="A194" s="122"/>
      <c r="B194" s="123" t="s">
        <v>301</v>
      </c>
      <c r="C194" s="124">
        <v>1500000</v>
      </c>
    </row>
    <row r="195" spans="1:3" s="105" customFormat="1" ht="21">
      <c r="A195" s="102"/>
      <c r="B195" s="103" t="s">
        <v>279</v>
      </c>
      <c r="C195" s="104">
        <v>971000</v>
      </c>
    </row>
    <row r="196" spans="1:3" s="105" customFormat="1" ht="21">
      <c r="A196" s="102"/>
      <c r="B196" s="103" t="s">
        <v>284</v>
      </c>
      <c r="C196" s="104">
        <v>84000</v>
      </c>
    </row>
    <row r="197" spans="1:3" s="105" customFormat="1" ht="21">
      <c r="A197" s="102"/>
      <c r="B197" s="103" t="s">
        <v>285</v>
      </c>
      <c r="C197" s="104">
        <v>200000</v>
      </c>
    </row>
    <row r="198" spans="1:3" s="105" customFormat="1" ht="21">
      <c r="A198" s="102"/>
      <c r="B198" s="103" t="s">
        <v>286</v>
      </c>
      <c r="C198" s="104">
        <v>50000</v>
      </c>
    </row>
    <row r="199" spans="1:3" s="105" customFormat="1" ht="21">
      <c r="A199" s="102"/>
      <c r="B199" s="103" t="s">
        <v>287</v>
      </c>
      <c r="C199" s="104">
        <v>100000</v>
      </c>
    </row>
    <row r="200" spans="1:3" s="105" customFormat="1" ht="21">
      <c r="A200" s="102"/>
      <c r="B200" s="103" t="s">
        <v>288</v>
      </c>
      <c r="C200" s="104">
        <v>500000</v>
      </c>
    </row>
    <row r="201" spans="1:3" s="105" customFormat="1" ht="21">
      <c r="A201" s="102"/>
      <c r="B201" s="103" t="s">
        <v>289</v>
      </c>
      <c r="C201" s="104">
        <v>12000</v>
      </c>
    </row>
    <row r="202" spans="1:3" s="105" customFormat="1" ht="21">
      <c r="A202" s="102"/>
      <c r="B202" s="103" t="s">
        <v>290</v>
      </c>
      <c r="C202" s="104">
        <v>25000</v>
      </c>
    </row>
    <row r="203" spans="1:3" s="105" customFormat="1" ht="21">
      <c r="A203" s="102"/>
      <c r="B203" s="103" t="s">
        <v>299</v>
      </c>
      <c r="C203" s="104">
        <v>529000</v>
      </c>
    </row>
    <row r="204" spans="1:3" s="105" customFormat="1" ht="21">
      <c r="A204" s="102"/>
      <c r="B204" s="103" t="s">
        <v>292</v>
      </c>
      <c r="C204" s="104">
        <v>72000</v>
      </c>
    </row>
    <row r="205" spans="1:3" s="105" customFormat="1" ht="21">
      <c r="A205" s="102"/>
      <c r="B205" s="103" t="s">
        <v>247</v>
      </c>
      <c r="C205" s="104">
        <v>200000</v>
      </c>
    </row>
    <row r="206" spans="1:3" s="105" customFormat="1" ht="21">
      <c r="A206" s="102"/>
      <c r="B206" s="103" t="s">
        <v>293</v>
      </c>
      <c r="C206" s="104">
        <v>96000</v>
      </c>
    </row>
    <row r="207" spans="1:3" s="105" customFormat="1" ht="21">
      <c r="A207" s="102"/>
      <c r="B207" s="103" t="s">
        <v>294</v>
      </c>
      <c r="C207" s="104">
        <v>80000</v>
      </c>
    </row>
    <row r="208" spans="1:3" s="105" customFormat="1" ht="21">
      <c r="A208" s="102"/>
      <c r="B208" s="103" t="s">
        <v>295</v>
      </c>
      <c r="C208" s="104">
        <v>15000</v>
      </c>
    </row>
    <row r="209" spans="1:3" s="105" customFormat="1" ht="21">
      <c r="A209" s="102"/>
      <c r="B209" s="103" t="s">
        <v>300</v>
      </c>
      <c r="C209" s="104">
        <v>45000</v>
      </c>
    </row>
    <row r="210" spans="1:3" s="105" customFormat="1" ht="21">
      <c r="A210" s="102"/>
      <c r="B210" s="103" t="s">
        <v>297</v>
      </c>
      <c r="C210" s="104">
        <v>21000</v>
      </c>
    </row>
    <row r="211" spans="1:3" s="125" customFormat="1" ht="42">
      <c r="A211" s="122"/>
      <c r="B211" s="1171" t="s">
        <v>302</v>
      </c>
      <c r="C211" s="124">
        <v>1000000</v>
      </c>
    </row>
    <row r="212" spans="1:3" s="105" customFormat="1" ht="21">
      <c r="A212" s="102"/>
      <c r="B212" s="103" t="s">
        <v>303</v>
      </c>
      <c r="C212" s="104">
        <v>286600</v>
      </c>
    </row>
    <row r="213" spans="1:3" s="105" customFormat="1" ht="21">
      <c r="A213" s="102"/>
      <c r="B213" s="103" t="s">
        <v>304</v>
      </c>
      <c r="C213" s="104">
        <v>30000</v>
      </c>
    </row>
    <row r="214" spans="1:3" s="105" customFormat="1" ht="21">
      <c r="A214" s="102"/>
      <c r="B214" s="103" t="s">
        <v>256</v>
      </c>
      <c r="C214" s="104">
        <v>30000</v>
      </c>
    </row>
    <row r="215" spans="1:3" s="105" customFormat="1" ht="21">
      <c r="A215" s="102"/>
      <c r="B215" s="103" t="s">
        <v>257</v>
      </c>
      <c r="C215" s="104">
        <v>150000</v>
      </c>
    </row>
    <row r="216" spans="1:3" s="105" customFormat="1" ht="21">
      <c r="A216" s="102"/>
      <c r="B216" s="103" t="s">
        <v>258</v>
      </c>
      <c r="C216" s="104">
        <v>21000</v>
      </c>
    </row>
    <row r="217" spans="1:3" s="105" customFormat="1" ht="21">
      <c r="A217" s="102"/>
      <c r="B217" s="103" t="s">
        <v>259</v>
      </c>
      <c r="C217" s="104">
        <v>30000</v>
      </c>
    </row>
    <row r="218" spans="1:3" s="105" customFormat="1" ht="21">
      <c r="A218" s="102"/>
      <c r="B218" s="103" t="s">
        <v>260</v>
      </c>
      <c r="C218" s="104">
        <v>9600</v>
      </c>
    </row>
    <row r="219" spans="1:3" s="105" customFormat="1" ht="21">
      <c r="A219" s="102"/>
      <c r="B219" s="103" t="s">
        <v>261</v>
      </c>
      <c r="C219" s="104">
        <v>16000</v>
      </c>
    </row>
    <row r="220" spans="1:3" s="105" customFormat="1" ht="21">
      <c r="A220" s="102"/>
      <c r="B220" s="103" t="s">
        <v>1795</v>
      </c>
      <c r="C220" s="104">
        <v>713400</v>
      </c>
    </row>
    <row r="221" spans="1:3" s="105" customFormat="1" ht="21">
      <c r="A221" s="102"/>
      <c r="B221" s="103" t="s">
        <v>263</v>
      </c>
      <c r="C221" s="104">
        <v>288000</v>
      </c>
    </row>
    <row r="222" spans="1:3" s="105" customFormat="1" ht="21">
      <c r="A222" s="102"/>
      <c r="B222" s="103" t="s">
        <v>264</v>
      </c>
      <c r="C222" s="104">
        <v>115200</v>
      </c>
    </row>
    <row r="223" spans="1:3" s="105" customFormat="1" ht="21">
      <c r="A223" s="102"/>
      <c r="B223" s="103" t="s">
        <v>265</v>
      </c>
      <c r="C223" s="104">
        <v>300000</v>
      </c>
    </row>
    <row r="224" spans="1:3" s="105" customFormat="1" ht="21">
      <c r="A224" s="102"/>
      <c r="B224" s="103" t="s">
        <v>305</v>
      </c>
      <c r="C224" s="104">
        <v>7200</v>
      </c>
    </row>
    <row r="225" spans="1:3" s="105" customFormat="1" ht="21">
      <c r="A225" s="102"/>
      <c r="B225" s="103" t="s">
        <v>266</v>
      </c>
      <c r="C225" s="104">
        <v>3000</v>
      </c>
    </row>
    <row r="226" spans="1:3" s="125" customFormat="1" ht="21">
      <c r="A226" s="122"/>
      <c r="B226" s="123" t="s">
        <v>306</v>
      </c>
      <c r="C226" s="124">
        <v>1500000</v>
      </c>
    </row>
    <row r="227" spans="1:3" s="105" customFormat="1" ht="21">
      <c r="A227" s="102"/>
      <c r="B227" s="103" t="s">
        <v>307</v>
      </c>
      <c r="C227" s="104">
        <v>971000</v>
      </c>
    </row>
    <row r="228" spans="1:3" s="105" customFormat="1" ht="21">
      <c r="A228" s="102"/>
      <c r="B228" s="103" t="s">
        <v>284</v>
      </c>
      <c r="C228" s="104">
        <v>84000</v>
      </c>
    </row>
    <row r="229" spans="1:3" s="105" customFormat="1" ht="19.5" customHeight="1">
      <c r="A229" s="102"/>
      <c r="B229" s="103" t="s">
        <v>285</v>
      </c>
      <c r="C229" s="104">
        <v>200000</v>
      </c>
    </row>
    <row r="230" spans="1:3" s="105" customFormat="1" ht="21">
      <c r="A230" s="102"/>
      <c r="B230" s="103" t="s">
        <v>286</v>
      </c>
      <c r="C230" s="104">
        <v>50000</v>
      </c>
    </row>
    <row r="231" spans="1:3" s="105" customFormat="1" ht="21">
      <c r="A231" s="102"/>
      <c r="B231" s="103" t="s">
        <v>287</v>
      </c>
      <c r="C231" s="104">
        <v>100000</v>
      </c>
    </row>
    <row r="232" spans="1:3" s="105" customFormat="1" ht="21">
      <c r="A232" s="102"/>
      <c r="B232" s="103" t="s">
        <v>288</v>
      </c>
      <c r="C232" s="104">
        <v>500000</v>
      </c>
    </row>
    <row r="233" spans="1:3" s="105" customFormat="1" ht="21">
      <c r="A233" s="102"/>
      <c r="B233" s="103" t="s">
        <v>289</v>
      </c>
      <c r="C233" s="104">
        <v>12000</v>
      </c>
    </row>
    <row r="234" spans="1:3" s="101" customFormat="1" ht="23.25" customHeight="1">
      <c r="A234" s="102"/>
      <c r="B234" s="103" t="s">
        <v>290</v>
      </c>
      <c r="C234" s="104">
        <v>25000</v>
      </c>
    </row>
    <row r="235" spans="1:3" s="105" customFormat="1" ht="21">
      <c r="A235" s="102"/>
      <c r="B235" s="103" t="s">
        <v>308</v>
      </c>
      <c r="C235" s="104">
        <v>529000</v>
      </c>
    </row>
    <row r="236" spans="1:3" s="106" customFormat="1" ht="36.75" customHeight="1">
      <c r="A236" s="102"/>
      <c r="B236" s="103" t="s">
        <v>292</v>
      </c>
      <c r="C236" s="104">
        <v>72000</v>
      </c>
    </row>
    <row r="237" spans="1:3" s="105" customFormat="1" ht="21">
      <c r="A237" s="102"/>
      <c r="B237" s="103" t="s">
        <v>247</v>
      </c>
      <c r="C237" s="104">
        <v>200000</v>
      </c>
    </row>
    <row r="238" spans="1:3" s="105" customFormat="1" ht="21">
      <c r="A238" s="102"/>
      <c r="B238" s="103" t="s">
        <v>293</v>
      </c>
      <c r="C238" s="104">
        <v>96000</v>
      </c>
    </row>
    <row r="239" spans="1:3" s="105" customFormat="1" ht="21">
      <c r="A239" s="102"/>
      <c r="B239" s="103" t="s">
        <v>294</v>
      </c>
      <c r="C239" s="104">
        <v>80000</v>
      </c>
    </row>
    <row r="240" spans="1:3" s="105" customFormat="1" ht="21">
      <c r="A240" s="102"/>
      <c r="B240" s="103" t="s">
        <v>295</v>
      </c>
      <c r="C240" s="104">
        <v>15000</v>
      </c>
    </row>
    <row r="241" spans="1:3" s="106" customFormat="1" ht="20.25" customHeight="1">
      <c r="A241" s="102"/>
      <c r="B241" s="103" t="s">
        <v>309</v>
      </c>
      <c r="C241" s="104">
        <v>45000</v>
      </c>
    </row>
    <row r="242" spans="1:3" s="106" customFormat="1" ht="18.75" customHeight="1">
      <c r="A242" s="102"/>
      <c r="B242" s="103" t="s">
        <v>297</v>
      </c>
      <c r="C242" s="104">
        <v>21000</v>
      </c>
    </row>
    <row r="243" spans="1:3" s="125" customFormat="1" ht="42">
      <c r="A243" s="122"/>
      <c r="B243" s="1171" t="s">
        <v>310</v>
      </c>
      <c r="C243" s="124">
        <v>1500000</v>
      </c>
    </row>
    <row r="244" spans="1:3" s="105" customFormat="1" ht="21">
      <c r="A244" s="102"/>
      <c r="B244" s="103" t="s">
        <v>311</v>
      </c>
      <c r="C244" s="104">
        <v>971000</v>
      </c>
    </row>
    <row r="245" spans="1:3" s="105" customFormat="1" ht="21">
      <c r="A245" s="102"/>
      <c r="B245" s="103" t="s">
        <v>284</v>
      </c>
      <c r="C245" s="104">
        <v>84000</v>
      </c>
    </row>
    <row r="246" spans="1:3" s="105" customFormat="1" ht="21">
      <c r="A246" s="102"/>
      <c r="B246" s="103" t="s">
        <v>285</v>
      </c>
      <c r="C246" s="104">
        <v>200000</v>
      </c>
    </row>
    <row r="247" spans="1:3" s="105" customFormat="1" ht="21">
      <c r="A247" s="102"/>
      <c r="B247" s="103" t="s">
        <v>286</v>
      </c>
      <c r="C247" s="104">
        <v>50000</v>
      </c>
    </row>
    <row r="248" spans="1:3" s="105" customFormat="1" ht="21">
      <c r="A248" s="102"/>
      <c r="B248" s="103" t="s">
        <v>287</v>
      </c>
      <c r="C248" s="104">
        <v>100000</v>
      </c>
    </row>
    <row r="249" spans="1:3" s="105" customFormat="1" ht="21">
      <c r="A249" s="102"/>
      <c r="B249" s="103" t="s">
        <v>288</v>
      </c>
      <c r="C249" s="104">
        <v>500000</v>
      </c>
    </row>
    <row r="250" spans="1:3" s="105" customFormat="1" ht="21">
      <c r="A250" s="102"/>
      <c r="B250" s="103" t="s">
        <v>289</v>
      </c>
      <c r="C250" s="104">
        <v>12000</v>
      </c>
    </row>
    <row r="251" spans="1:3" s="105" customFormat="1" ht="21">
      <c r="A251" s="102"/>
      <c r="B251" s="103" t="s">
        <v>290</v>
      </c>
      <c r="C251" s="104">
        <v>25000</v>
      </c>
    </row>
    <row r="252" spans="1:3" s="105" customFormat="1" ht="21">
      <c r="A252" s="102"/>
      <c r="B252" s="103" t="s">
        <v>312</v>
      </c>
      <c r="C252" s="104">
        <v>529000</v>
      </c>
    </row>
    <row r="253" spans="1:3" s="105" customFormat="1" ht="21">
      <c r="A253" s="102"/>
      <c r="B253" s="103" t="s">
        <v>292</v>
      </c>
      <c r="C253" s="104">
        <v>72000</v>
      </c>
    </row>
    <row r="254" spans="1:3" s="105" customFormat="1" ht="21">
      <c r="A254" s="102"/>
      <c r="B254" s="103" t="s">
        <v>247</v>
      </c>
      <c r="C254" s="104">
        <v>200000</v>
      </c>
    </row>
    <row r="255" spans="1:3" s="105" customFormat="1" ht="21">
      <c r="A255" s="102"/>
      <c r="B255" s="103" t="s">
        <v>293</v>
      </c>
      <c r="C255" s="104">
        <v>96000</v>
      </c>
    </row>
    <row r="256" spans="1:3" s="105" customFormat="1" ht="21">
      <c r="A256" s="102"/>
      <c r="B256" s="103" t="s">
        <v>1796</v>
      </c>
      <c r="C256" s="104">
        <v>80000</v>
      </c>
    </row>
    <row r="257" spans="1:3" s="105" customFormat="1" ht="21">
      <c r="A257" s="102"/>
      <c r="B257" s="103" t="s">
        <v>295</v>
      </c>
      <c r="C257" s="104">
        <v>15000</v>
      </c>
    </row>
    <row r="258" spans="1:3" s="105" customFormat="1" ht="21">
      <c r="A258" s="102"/>
      <c r="B258" s="103" t="s">
        <v>309</v>
      </c>
      <c r="C258" s="104">
        <v>45000</v>
      </c>
    </row>
    <row r="259" spans="1:3" s="105" customFormat="1" ht="21">
      <c r="A259" s="102"/>
      <c r="B259" s="103" t="s">
        <v>297</v>
      </c>
      <c r="C259" s="104">
        <v>21000</v>
      </c>
    </row>
    <row r="260" spans="1:3" s="125" customFormat="1" ht="21">
      <c r="A260" s="122"/>
      <c r="B260" s="123" t="s">
        <v>313</v>
      </c>
      <c r="C260" s="124">
        <v>1000000</v>
      </c>
    </row>
    <row r="261" spans="1:3" s="105" customFormat="1" ht="21">
      <c r="A261" s="102"/>
      <c r="B261" s="103" t="s">
        <v>314</v>
      </c>
      <c r="C261" s="104">
        <v>286600</v>
      </c>
    </row>
    <row r="262" spans="1:3" s="105" customFormat="1" ht="21">
      <c r="A262" s="102"/>
      <c r="B262" s="103" t="s">
        <v>280</v>
      </c>
      <c r="C262" s="104">
        <v>30000</v>
      </c>
    </row>
    <row r="263" spans="1:3" s="105" customFormat="1" ht="21">
      <c r="A263" s="102"/>
      <c r="B263" s="103" t="s">
        <v>256</v>
      </c>
      <c r="C263" s="104">
        <v>30000</v>
      </c>
    </row>
    <row r="264" spans="1:3" s="105" customFormat="1" ht="21">
      <c r="A264" s="102"/>
      <c r="B264" s="103" t="s">
        <v>257</v>
      </c>
      <c r="C264" s="104">
        <v>150000</v>
      </c>
    </row>
    <row r="265" spans="1:3" s="105" customFormat="1" ht="21">
      <c r="A265" s="102"/>
      <c r="B265" s="103" t="s">
        <v>1789</v>
      </c>
      <c r="C265" s="104">
        <v>21000</v>
      </c>
    </row>
    <row r="266" spans="1:3" s="105" customFormat="1" ht="21">
      <c r="A266" s="102"/>
      <c r="B266" s="103" t="s">
        <v>259</v>
      </c>
      <c r="C266" s="104">
        <v>30000</v>
      </c>
    </row>
    <row r="267" spans="1:3" s="105" customFormat="1" ht="21">
      <c r="A267" s="102"/>
      <c r="B267" s="103" t="s">
        <v>260</v>
      </c>
      <c r="C267" s="104">
        <v>9600</v>
      </c>
    </row>
    <row r="268" spans="1:3" s="105" customFormat="1" ht="21">
      <c r="A268" s="102"/>
      <c r="B268" s="103" t="s">
        <v>261</v>
      </c>
      <c r="C268" s="104">
        <v>16000</v>
      </c>
    </row>
    <row r="269" spans="1:3" s="105" customFormat="1" ht="21">
      <c r="A269" s="102"/>
      <c r="B269" s="103" t="s">
        <v>315</v>
      </c>
      <c r="C269" s="104">
        <v>713400</v>
      </c>
    </row>
    <row r="270" spans="1:3" s="105" customFormat="1" ht="21">
      <c r="A270" s="102"/>
      <c r="B270" s="103" t="s">
        <v>263</v>
      </c>
      <c r="C270" s="104">
        <v>288000</v>
      </c>
    </row>
    <row r="271" spans="1:3" s="105" customFormat="1" ht="21">
      <c r="A271" s="102"/>
      <c r="B271" s="103" t="s">
        <v>264</v>
      </c>
      <c r="C271" s="104">
        <v>115200</v>
      </c>
    </row>
    <row r="272" spans="1:3" s="105" customFormat="1" ht="21">
      <c r="A272" s="102"/>
      <c r="B272" s="103" t="s">
        <v>265</v>
      </c>
      <c r="C272" s="104">
        <v>300000</v>
      </c>
    </row>
    <row r="273" spans="1:3" s="105" customFormat="1" ht="21">
      <c r="A273" s="102"/>
      <c r="B273" s="103" t="s">
        <v>1793</v>
      </c>
      <c r="C273" s="104">
        <v>7200</v>
      </c>
    </row>
    <row r="274" spans="1:3" s="105" customFormat="1" ht="21">
      <c r="A274" s="102"/>
      <c r="B274" s="103" t="s">
        <v>266</v>
      </c>
      <c r="C274" s="104">
        <v>3000</v>
      </c>
    </row>
    <row r="275" spans="1:3" s="125" customFormat="1" ht="21">
      <c r="A275" s="122"/>
      <c r="B275" s="123" t="s">
        <v>316</v>
      </c>
      <c r="C275" s="124">
        <v>1000000</v>
      </c>
    </row>
    <row r="276" spans="1:3" s="105" customFormat="1" ht="21">
      <c r="A276" s="102"/>
      <c r="B276" s="103" t="s">
        <v>317</v>
      </c>
      <c r="C276" s="104">
        <v>286600</v>
      </c>
    </row>
    <row r="277" spans="1:3" s="105" customFormat="1" ht="21">
      <c r="A277" s="102"/>
      <c r="B277" s="103" t="s">
        <v>271</v>
      </c>
      <c r="C277" s="104">
        <v>30000</v>
      </c>
    </row>
    <row r="278" spans="1:3" s="105" customFormat="1" ht="21">
      <c r="A278" s="102"/>
      <c r="B278" s="103" t="s">
        <v>256</v>
      </c>
      <c r="C278" s="104">
        <v>30000</v>
      </c>
    </row>
    <row r="279" spans="1:3" s="105" customFormat="1" ht="21">
      <c r="A279" s="102"/>
      <c r="B279" s="103" t="s">
        <v>257</v>
      </c>
      <c r="C279" s="104">
        <v>150000</v>
      </c>
    </row>
    <row r="280" spans="1:3" s="105" customFormat="1" ht="21">
      <c r="A280" s="102"/>
      <c r="B280" s="103" t="s">
        <v>1789</v>
      </c>
      <c r="C280" s="104">
        <v>21000</v>
      </c>
    </row>
    <row r="281" spans="1:3" s="105" customFormat="1" ht="21">
      <c r="A281" s="102"/>
      <c r="B281" s="103" t="s">
        <v>259</v>
      </c>
      <c r="C281" s="104">
        <v>30000</v>
      </c>
    </row>
    <row r="282" spans="1:3" s="105" customFormat="1" ht="21">
      <c r="A282" s="102"/>
      <c r="B282" s="103" t="s">
        <v>260</v>
      </c>
      <c r="C282" s="104">
        <v>9600</v>
      </c>
    </row>
    <row r="283" spans="1:3" s="105" customFormat="1" ht="21">
      <c r="A283" s="102"/>
      <c r="B283" s="103" t="s">
        <v>261</v>
      </c>
      <c r="C283" s="104">
        <v>16000</v>
      </c>
    </row>
    <row r="284" spans="1:3" s="105" customFormat="1" ht="21">
      <c r="A284" s="102"/>
      <c r="B284" s="103" t="s">
        <v>318</v>
      </c>
      <c r="C284" s="104">
        <v>713400</v>
      </c>
    </row>
    <row r="285" spans="1:3" s="105" customFormat="1" ht="21">
      <c r="A285" s="102"/>
      <c r="B285" s="103" t="s">
        <v>263</v>
      </c>
      <c r="C285" s="104">
        <v>288000</v>
      </c>
    </row>
    <row r="286" spans="1:3" s="105" customFormat="1" ht="21">
      <c r="A286" s="102"/>
      <c r="B286" s="103" t="s">
        <v>264</v>
      </c>
      <c r="C286" s="104">
        <v>115200</v>
      </c>
    </row>
    <row r="287" spans="1:3" s="105" customFormat="1" ht="21">
      <c r="A287" s="102"/>
      <c r="B287" s="103" t="s">
        <v>265</v>
      </c>
      <c r="C287" s="104">
        <v>300000</v>
      </c>
    </row>
    <row r="288" spans="1:3" s="105" customFormat="1" ht="21">
      <c r="A288" s="102"/>
      <c r="B288" s="103" t="s">
        <v>1797</v>
      </c>
      <c r="C288" s="104">
        <v>7200</v>
      </c>
    </row>
    <row r="289" spans="1:3" s="105" customFormat="1" ht="21">
      <c r="A289" s="102"/>
      <c r="B289" s="103" t="s">
        <v>266</v>
      </c>
      <c r="C289" s="104">
        <v>3000</v>
      </c>
    </row>
    <row r="290" spans="1:3" s="125" customFormat="1" ht="21">
      <c r="A290" s="122"/>
      <c r="B290" s="123" t="s">
        <v>319</v>
      </c>
      <c r="C290" s="124">
        <v>1369600</v>
      </c>
    </row>
    <row r="291" spans="1:3" s="105" customFormat="1" ht="21">
      <c r="A291" s="102"/>
      <c r="B291" s="103" t="s">
        <v>320</v>
      </c>
      <c r="C291" s="104">
        <v>286600</v>
      </c>
    </row>
    <row r="292" spans="1:3" s="105" customFormat="1" ht="21">
      <c r="A292" s="102"/>
      <c r="B292" s="103" t="s">
        <v>271</v>
      </c>
      <c r="C292" s="104">
        <v>30000</v>
      </c>
    </row>
    <row r="293" spans="1:3" s="105" customFormat="1" ht="21">
      <c r="A293" s="102"/>
      <c r="B293" s="103" t="s">
        <v>256</v>
      </c>
      <c r="C293" s="104">
        <v>30000</v>
      </c>
    </row>
    <row r="294" spans="1:3" s="105" customFormat="1" ht="21">
      <c r="A294" s="102"/>
      <c r="B294" s="103" t="s">
        <v>257</v>
      </c>
      <c r="C294" s="104">
        <v>150000</v>
      </c>
    </row>
    <row r="295" spans="1:3" s="105" customFormat="1" ht="21">
      <c r="A295" s="102"/>
      <c r="B295" s="103" t="s">
        <v>1789</v>
      </c>
      <c r="C295" s="104">
        <v>21000</v>
      </c>
    </row>
    <row r="296" spans="1:3" s="105" customFormat="1" ht="21">
      <c r="A296" s="102"/>
      <c r="B296" s="103" t="s">
        <v>259</v>
      </c>
      <c r="C296" s="104">
        <v>30000</v>
      </c>
    </row>
    <row r="297" spans="1:3" s="105" customFormat="1" ht="21">
      <c r="A297" s="102"/>
      <c r="B297" s="103" t="s">
        <v>260</v>
      </c>
      <c r="C297" s="104">
        <v>9600</v>
      </c>
    </row>
    <row r="298" spans="1:3" s="105" customFormat="1" ht="21">
      <c r="A298" s="102"/>
      <c r="B298" s="103" t="s">
        <v>261</v>
      </c>
      <c r="C298" s="104">
        <v>16000</v>
      </c>
    </row>
    <row r="299" spans="1:3" s="105" customFormat="1" ht="21">
      <c r="A299" s="102"/>
      <c r="B299" s="103" t="s">
        <v>321</v>
      </c>
      <c r="C299" s="104">
        <v>750000</v>
      </c>
    </row>
    <row r="300" spans="1:3" s="105" customFormat="1" ht="21">
      <c r="A300" s="102"/>
      <c r="B300" s="103" t="s">
        <v>263</v>
      </c>
      <c r="C300" s="104">
        <v>288000</v>
      </c>
    </row>
    <row r="301" spans="1:3" s="105" customFormat="1" ht="21">
      <c r="A301" s="102"/>
      <c r="B301" s="103" t="s">
        <v>264</v>
      </c>
      <c r="C301" s="104">
        <v>115200</v>
      </c>
    </row>
    <row r="302" spans="1:3" s="105" customFormat="1" ht="21">
      <c r="A302" s="102"/>
      <c r="B302" s="103" t="s">
        <v>265</v>
      </c>
      <c r="C302" s="104">
        <v>300000</v>
      </c>
    </row>
    <row r="303" spans="1:3" s="105" customFormat="1" ht="21">
      <c r="A303" s="102"/>
      <c r="B303" s="103" t="s">
        <v>1798</v>
      </c>
      <c r="C303" s="104">
        <v>36000</v>
      </c>
    </row>
    <row r="304" spans="1:3" s="105" customFormat="1" ht="21">
      <c r="A304" s="102"/>
      <c r="B304" s="103" t="s">
        <v>322</v>
      </c>
      <c r="C304" s="104">
        <v>10800</v>
      </c>
    </row>
    <row r="305" spans="1:3" s="105" customFormat="1" ht="21">
      <c r="A305" s="102"/>
      <c r="B305" s="103" t="s">
        <v>323</v>
      </c>
      <c r="C305" s="104">
        <v>333000</v>
      </c>
    </row>
    <row r="306" spans="1:3" s="105" customFormat="1" ht="21">
      <c r="A306" s="102"/>
      <c r="B306" s="103" t="s">
        <v>324</v>
      </c>
      <c r="C306" s="104">
        <v>57600</v>
      </c>
    </row>
    <row r="307" spans="1:3" s="105" customFormat="1" ht="21">
      <c r="A307" s="102"/>
      <c r="B307" s="103" t="s">
        <v>325</v>
      </c>
      <c r="C307" s="104">
        <v>48000</v>
      </c>
    </row>
    <row r="308" spans="1:3" s="105" customFormat="1" ht="21">
      <c r="A308" s="102"/>
      <c r="B308" s="103" t="s">
        <v>326</v>
      </c>
      <c r="C308" s="104">
        <v>5000</v>
      </c>
    </row>
    <row r="309" spans="1:3" s="105" customFormat="1" ht="21">
      <c r="A309" s="102"/>
      <c r="B309" s="103" t="s">
        <v>1799</v>
      </c>
      <c r="C309" s="104">
        <v>24000</v>
      </c>
    </row>
    <row r="310" spans="1:3" s="105" customFormat="1" ht="21">
      <c r="A310" s="102"/>
      <c r="B310" s="103" t="s">
        <v>327</v>
      </c>
      <c r="C310" s="104">
        <v>120000</v>
      </c>
    </row>
    <row r="311" spans="1:3" s="105" customFormat="1" ht="21">
      <c r="A311" s="102"/>
      <c r="B311" s="103" t="s">
        <v>328</v>
      </c>
      <c r="C311" s="104">
        <v>19200</v>
      </c>
    </row>
    <row r="312" spans="1:3" s="105" customFormat="1" ht="21">
      <c r="A312" s="102"/>
      <c r="B312" s="103" t="s">
        <v>329</v>
      </c>
      <c r="C312" s="104">
        <v>19200</v>
      </c>
    </row>
    <row r="313" spans="1:3" s="105" customFormat="1" ht="21">
      <c r="A313" s="102"/>
      <c r="B313" s="103" t="s">
        <v>330</v>
      </c>
      <c r="C313" s="104">
        <v>40000</v>
      </c>
    </row>
    <row r="314" spans="1:3" s="125" customFormat="1" ht="21">
      <c r="A314" s="122"/>
      <c r="B314" s="123" t="s">
        <v>331</v>
      </c>
      <c r="C314" s="124">
        <v>1000000</v>
      </c>
    </row>
    <row r="315" spans="1:3" s="105" customFormat="1" ht="21">
      <c r="A315" s="102"/>
      <c r="B315" s="103" t="s">
        <v>332</v>
      </c>
      <c r="C315" s="104">
        <v>286600</v>
      </c>
    </row>
    <row r="316" spans="1:3" s="105" customFormat="1" ht="21">
      <c r="A316" s="102"/>
      <c r="B316" s="103" t="s">
        <v>333</v>
      </c>
      <c r="C316" s="104">
        <v>30000</v>
      </c>
    </row>
    <row r="317" spans="1:3" s="105" customFormat="1" ht="21">
      <c r="A317" s="102"/>
      <c r="B317" s="103" t="s">
        <v>256</v>
      </c>
      <c r="C317" s="104">
        <v>30000</v>
      </c>
    </row>
    <row r="318" spans="1:3" s="105" customFormat="1" ht="21">
      <c r="A318" s="102"/>
      <c r="B318" s="103" t="s">
        <v>257</v>
      </c>
      <c r="C318" s="104">
        <v>150000</v>
      </c>
    </row>
    <row r="319" spans="1:3" s="105" customFormat="1" ht="21">
      <c r="A319" s="102"/>
      <c r="B319" s="103" t="s">
        <v>1789</v>
      </c>
      <c r="C319" s="104">
        <v>21000</v>
      </c>
    </row>
    <row r="320" spans="1:3" s="105" customFormat="1" ht="21">
      <c r="A320" s="102"/>
      <c r="B320" s="103" t="s">
        <v>259</v>
      </c>
      <c r="C320" s="104">
        <v>30000</v>
      </c>
    </row>
    <row r="321" spans="1:3" s="105" customFormat="1" ht="21">
      <c r="A321" s="102"/>
      <c r="B321" s="103" t="s">
        <v>260</v>
      </c>
      <c r="C321" s="104">
        <v>9600</v>
      </c>
    </row>
    <row r="322" spans="1:3" s="105" customFormat="1" ht="21">
      <c r="A322" s="102"/>
      <c r="B322" s="103" t="s">
        <v>261</v>
      </c>
      <c r="C322" s="104">
        <v>16000</v>
      </c>
    </row>
    <row r="323" spans="1:3" s="105" customFormat="1" ht="21">
      <c r="A323" s="102"/>
      <c r="B323" s="103" t="s">
        <v>334</v>
      </c>
      <c r="C323" s="104">
        <v>713400</v>
      </c>
    </row>
    <row r="324" spans="1:3" s="105" customFormat="1" ht="21">
      <c r="A324" s="102"/>
      <c r="B324" s="103" t="s">
        <v>263</v>
      </c>
      <c r="C324" s="104">
        <v>288000</v>
      </c>
    </row>
    <row r="325" spans="1:3" s="105" customFormat="1" ht="21">
      <c r="A325" s="102"/>
      <c r="B325" s="103" t="s">
        <v>264</v>
      </c>
      <c r="C325" s="104">
        <v>115200</v>
      </c>
    </row>
    <row r="326" spans="1:3" s="105" customFormat="1" ht="21">
      <c r="A326" s="102"/>
      <c r="B326" s="103" t="s">
        <v>265</v>
      </c>
      <c r="C326" s="104">
        <v>300000</v>
      </c>
    </row>
    <row r="327" spans="1:3" s="105" customFormat="1" ht="21">
      <c r="A327" s="102"/>
      <c r="B327" s="103" t="s">
        <v>1797</v>
      </c>
      <c r="C327" s="104">
        <v>7200</v>
      </c>
    </row>
    <row r="328" spans="1:3" s="105" customFormat="1" ht="21">
      <c r="A328" s="102"/>
      <c r="B328" s="103" t="s">
        <v>266</v>
      </c>
      <c r="C328" s="104">
        <v>3000</v>
      </c>
    </row>
    <row r="329" spans="1:3" s="125" customFormat="1" ht="21">
      <c r="A329" s="122"/>
      <c r="B329" s="123" t="s">
        <v>335</v>
      </c>
      <c r="C329" s="124">
        <v>2000000</v>
      </c>
    </row>
    <row r="330" spans="1:3" s="105" customFormat="1" ht="21">
      <c r="A330" s="102"/>
      <c r="B330" s="103" t="s">
        <v>336</v>
      </c>
      <c r="C330" s="104">
        <v>948000</v>
      </c>
    </row>
    <row r="331" spans="1:3" s="105" customFormat="1" ht="21">
      <c r="A331" s="102"/>
      <c r="B331" s="103" t="s">
        <v>240</v>
      </c>
      <c r="C331" s="104">
        <v>100000</v>
      </c>
    </row>
    <row r="332" spans="1:3" s="105" customFormat="1" ht="21">
      <c r="A332" s="102"/>
      <c r="B332" s="103" t="s">
        <v>241</v>
      </c>
      <c r="C332" s="104">
        <v>100000</v>
      </c>
    </row>
    <row r="333" spans="1:3" s="105" customFormat="1" ht="21">
      <c r="A333" s="102"/>
      <c r="B333" s="103" t="s">
        <v>242</v>
      </c>
      <c r="C333" s="104">
        <v>500000</v>
      </c>
    </row>
    <row r="334" spans="1:3" s="105" customFormat="1" ht="21">
      <c r="A334" s="102"/>
      <c r="B334" s="103" t="s">
        <v>1786</v>
      </c>
      <c r="C334" s="104">
        <v>70000</v>
      </c>
    </row>
    <row r="335" spans="1:3" s="105" customFormat="1" ht="21">
      <c r="A335" s="102"/>
      <c r="B335" s="103" t="s">
        <v>243</v>
      </c>
      <c r="C335" s="104">
        <v>50000</v>
      </c>
    </row>
    <row r="336" spans="1:3" s="105" customFormat="1" ht="21">
      <c r="A336" s="102"/>
      <c r="B336" s="103" t="s">
        <v>244</v>
      </c>
      <c r="C336" s="104">
        <v>48000</v>
      </c>
    </row>
    <row r="337" spans="1:3" s="105" customFormat="1" ht="21">
      <c r="A337" s="102"/>
      <c r="B337" s="103" t="s">
        <v>217</v>
      </c>
      <c r="C337" s="104">
        <v>80000</v>
      </c>
    </row>
    <row r="338" spans="1:3" s="105" customFormat="1" ht="21">
      <c r="A338" s="102"/>
      <c r="B338" s="103" t="s">
        <v>337</v>
      </c>
      <c r="C338" s="104">
        <v>1006000</v>
      </c>
    </row>
    <row r="339" spans="1:3" s="105" customFormat="1" ht="21">
      <c r="A339" s="102"/>
      <c r="B339" s="103" t="s">
        <v>246</v>
      </c>
      <c r="C339" s="104">
        <v>120000</v>
      </c>
    </row>
    <row r="340" spans="1:3" s="105" customFormat="1" ht="21">
      <c r="A340" s="102"/>
      <c r="B340" s="103" t="s">
        <v>247</v>
      </c>
      <c r="C340" s="104">
        <v>200000</v>
      </c>
    </row>
    <row r="341" spans="1:3" s="105" customFormat="1" ht="21">
      <c r="A341" s="102"/>
      <c r="B341" s="103" t="s">
        <v>248</v>
      </c>
      <c r="C341" s="104">
        <v>336000</v>
      </c>
    </row>
    <row r="342" spans="1:3" s="105" customFormat="1" ht="21">
      <c r="A342" s="102"/>
      <c r="B342" s="103" t="s">
        <v>1787</v>
      </c>
      <c r="C342" s="104">
        <v>320000</v>
      </c>
    </row>
    <row r="343" spans="1:3" s="105" customFormat="1" ht="21">
      <c r="A343" s="102"/>
      <c r="B343" s="103" t="s">
        <v>249</v>
      </c>
      <c r="C343" s="104">
        <v>30000</v>
      </c>
    </row>
    <row r="344" spans="1:3" s="105" customFormat="1" ht="21">
      <c r="A344" s="102"/>
      <c r="B344" s="103" t="s">
        <v>250</v>
      </c>
      <c r="C344" s="104">
        <v>46000</v>
      </c>
    </row>
    <row r="345" spans="1:3" s="105" customFormat="1" ht="21">
      <c r="A345" s="102"/>
      <c r="B345" s="103" t="s">
        <v>338</v>
      </c>
      <c r="C345" s="104">
        <v>27000</v>
      </c>
    </row>
    <row r="346" spans="1:3" s="105" customFormat="1" ht="21">
      <c r="A346" s="102"/>
      <c r="B346" s="103" t="s">
        <v>252</v>
      </c>
      <c r="C346" s="104">
        <v>19000</v>
      </c>
    </row>
    <row r="347" spans="1:3" s="125" customFormat="1" ht="21">
      <c r="A347" s="122"/>
      <c r="B347" s="123" t="s">
        <v>339</v>
      </c>
      <c r="C347" s="124">
        <v>2500000</v>
      </c>
    </row>
    <row r="348" spans="1:3" s="105" customFormat="1" ht="21">
      <c r="A348" s="102"/>
      <c r="B348" s="103" t="s">
        <v>211</v>
      </c>
      <c r="C348" s="104">
        <v>716500</v>
      </c>
    </row>
    <row r="349" spans="1:3" s="105" customFormat="1" ht="21">
      <c r="A349" s="102"/>
      <c r="B349" s="103" t="s">
        <v>340</v>
      </c>
      <c r="C349" s="104">
        <v>75000</v>
      </c>
    </row>
    <row r="350" spans="1:3" s="105" customFormat="1" ht="21">
      <c r="A350" s="102"/>
      <c r="B350" s="103" t="s">
        <v>341</v>
      </c>
      <c r="C350" s="104">
        <v>75000</v>
      </c>
    </row>
    <row r="351" spans="1:3" s="105" customFormat="1" ht="21">
      <c r="A351" s="102"/>
      <c r="B351" s="103" t="s">
        <v>342</v>
      </c>
      <c r="C351" s="104">
        <v>375000</v>
      </c>
    </row>
    <row r="352" spans="1:3" s="105" customFormat="1" ht="21">
      <c r="A352" s="102"/>
      <c r="B352" s="103" t="s">
        <v>1800</v>
      </c>
      <c r="C352" s="104">
        <v>52500</v>
      </c>
    </row>
    <row r="353" spans="1:4" s="105" customFormat="1" ht="21">
      <c r="A353" s="102"/>
      <c r="B353" s="103" t="s">
        <v>343</v>
      </c>
      <c r="C353" s="104">
        <v>75000</v>
      </c>
    </row>
    <row r="354" spans="1:4" s="105" customFormat="1" ht="21">
      <c r="A354" s="102"/>
      <c r="B354" s="103" t="s">
        <v>344</v>
      </c>
      <c r="C354" s="104">
        <v>24000</v>
      </c>
    </row>
    <row r="355" spans="1:4" s="105" customFormat="1" ht="21" customHeight="1">
      <c r="A355" s="102"/>
      <c r="B355" s="103" t="s">
        <v>345</v>
      </c>
      <c r="C355" s="104">
        <v>40000</v>
      </c>
    </row>
    <row r="356" spans="1:4" s="105" customFormat="1" ht="21">
      <c r="A356" s="102"/>
      <c r="B356" s="103" t="s">
        <v>346</v>
      </c>
      <c r="C356" s="104">
        <v>1783500</v>
      </c>
    </row>
    <row r="357" spans="1:4" s="105" customFormat="1" ht="21">
      <c r="A357" s="102"/>
      <c r="B357" s="103" t="s">
        <v>347</v>
      </c>
      <c r="C357" s="104">
        <v>720000</v>
      </c>
    </row>
    <row r="358" spans="1:4" s="105" customFormat="1" ht="21">
      <c r="A358" s="102"/>
      <c r="B358" s="103" t="s">
        <v>348</v>
      </c>
      <c r="C358" s="104">
        <v>288000</v>
      </c>
    </row>
    <row r="359" spans="1:4" s="105" customFormat="1" ht="21">
      <c r="A359" s="102"/>
      <c r="B359" s="103" t="s">
        <v>349</v>
      </c>
      <c r="C359" s="104">
        <v>750000</v>
      </c>
    </row>
    <row r="360" spans="1:4" s="101" customFormat="1" ht="23.25" customHeight="1">
      <c r="A360" s="102"/>
      <c r="B360" s="103" t="s">
        <v>1801</v>
      </c>
      <c r="C360" s="104">
        <v>18000</v>
      </c>
      <c r="D360" s="1109"/>
    </row>
    <row r="361" spans="1:4" s="105" customFormat="1" ht="21.75" thickBot="1">
      <c r="A361" s="102"/>
      <c r="B361" s="103" t="s">
        <v>350</v>
      </c>
      <c r="C361" s="104">
        <v>7500</v>
      </c>
    </row>
    <row r="362" spans="1:4" s="106" customFormat="1" ht="36.75" customHeight="1" thickBot="1">
      <c r="A362" s="1172">
        <v>5</v>
      </c>
      <c r="B362" s="1173" t="s">
        <v>1942</v>
      </c>
      <c r="C362" s="1174">
        <f>SUM(C363:C366)</f>
        <v>96000</v>
      </c>
    </row>
    <row r="363" spans="1:4" s="105" customFormat="1" ht="21">
      <c r="A363" s="102"/>
      <c r="B363" s="103" t="s">
        <v>351</v>
      </c>
      <c r="C363" s="104">
        <v>25000</v>
      </c>
    </row>
    <row r="364" spans="1:4" s="105" customFormat="1" ht="21">
      <c r="A364" s="102"/>
      <c r="B364" s="103" t="s">
        <v>352</v>
      </c>
      <c r="C364" s="104">
        <v>24000</v>
      </c>
    </row>
    <row r="365" spans="1:4" s="105" customFormat="1" ht="21">
      <c r="A365" s="102"/>
      <c r="B365" s="103" t="s">
        <v>353</v>
      </c>
      <c r="C365" s="104">
        <v>40000</v>
      </c>
    </row>
    <row r="366" spans="1:4" s="105" customFormat="1" ht="21.75" thickBot="1">
      <c r="A366" s="102"/>
      <c r="B366" s="103" t="s">
        <v>354</v>
      </c>
      <c r="C366" s="104">
        <v>7000</v>
      </c>
    </row>
    <row r="367" spans="1:4" ht="42" customHeight="1" thickBot="1">
      <c r="A367" s="1175">
        <v>6</v>
      </c>
      <c r="B367" s="1173" t="s">
        <v>1943</v>
      </c>
      <c r="C367" s="1174">
        <v>1000000</v>
      </c>
    </row>
    <row r="368" spans="1:4" ht="78.75" customHeight="1" thickBot="1">
      <c r="A368" s="1172">
        <v>7</v>
      </c>
      <c r="B368" s="1173" t="s">
        <v>1944</v>
      </c>
      <c r="C368" s="1174">
        <f>SUM(C369:C372)</f>
        <v>87900</v>
      </c>
    </row>
    <row r="369" spans="1:3" ht="21">
      <c r="A369" s="126"/>
      <c r="B369" s="103" t="s">
        <v>355</v>
      </c>
      <c r="C369" s="104">
        <v>12000</v>
      </c>
    </row>
    <row r="370" spans="1:3" ht="21">
      <c r="A370" s="127"/>
      <c r="B370" s="103" t="s">
        <v>188</v>
      </c>
      <c r="C370" s="104">
        <v>60000</v>
      </c>
    </row>
    <row r="371" spans="1:3" ht="21">
      <c r="A371" s="102"/>
      <c r="B371" s="112" t="s">
        <v>356</v>
      </c>
      <c r="C371" s="117">
        <v>8400</v>
      </c>
    </row>
    <row r="372" spans="1:3" ht="21.75" thickBot="1">
      <c r="A372" s="128"/>
      <c r="B372" s="103" t="s">
        <v>357</v>
      </c>
      <c r="C372" s="104">
        <v>7500</v>
      </c>
    </row>
    <row r="373" spans="1:3" ht="38.25" thickBot="1">
      <c r="A373" s="239">
        <v>8</v>
      </c>
      <c r="B373" s="238" t="s">
        <v>1803</v>
      </c>
      <c r="C373" s="236">
        <v>15000</v>
      </c>
    </row>
    <row r="374" spans="1:3" ht="44.25" customHeight="1" thickBot="1">
      <c r="A374" s="118"/>
      <c r="B374" s="109" t="s">
        <v>1804</v>
      </c>
      <c r="C374" s="103">
        <v>15000</v>
      </c>
    </row>
    <row r="375" spans="1:3" ht="19.5" thickBot="1">
      <c r="A375" s="240">
        <v>9</v>
      </c>
      <c r="B375" s="238" t="s">
        <v>1802</v>
      </c>
      <c r="C375" s="236">
        <v>10000</v>
      </c>
    </row>
    <row r="376" spans="1:3" ht="38.25" thickBot="1">
      <c r="A376" s="237">
        <v>10</v>
      </c>
      <c r="B376" s="238" t="s">
        <v>358</v>
      </c>
      <c r="C376" s="236">
        <v>15000</v>
      </c>
    </row>
    <row r="377" spans="1:3" ht="21.75" thickBot="1">
      <c r="A377" s="118"/>
      <c r="B377" s="103" t="s">
        <v>359</v>
      </c>
      <c r="C377" s="104">
        <v>15000</v>
      </c>
    </row>
    <row r="378" spans="1:3" ht="21">
      <c r="A378" s="130"/>
      <c r="B378" s="131" t="s">
        <v>4</v>
      </c>
      <c r="C378" s="132">
        <f>C3+C8+C24+C33+C362+C367+C368+C373+C375+C376</f>
        <v>48000000</v>
      </c>
    </row>
    <row r="379" spans="1:3">
      <c r="A379" s="133"/>
      <c r="B379" s="134" t="str">
        <f>BAHTTEXT(C378)</f>
        <v>สี่สิบแปดล้านบาทถ้วน</v>
      </c>
      <c r="C379" s="135"/>
    </row>
    <row r="380" spans="1:3" ht="19.5" thickBot="1">
      <c r="A380" s="136"/>
      <c r="B380" s="137"/>
      <c r="C380" s="138"/>
    </row>
    <row r="381" spans="1:3">
      <c r="A381" s="94"/>
      <c r="B381" s="97"/>
      <c r="C381" s="139"/>
    </row>
    <row r="382" spans="1:3">
      <c r="C382" s="139"/>
    </row>
  </sheetData>
  <mergeCells count="1">
    <mergeCell ref="A1:C1"/>
  </mergeCells>
  <pageMargins left="0.7" right="0.2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148"/>
  <sheetViews>
    <sheetView workbookViewId="0">
      <selection sqref="A1:C1"/>
    </sheetView>
  </sheetViews>
  <sheetFormatPr defaultColWidth="9" defaultRowHeight="15"/>
  <cols>
    <col min="1" max="1" width="9" style="105"/>
    <col min="2" max="2" width="62.5" style="105" customWidth="1"/>
    <col min="3" max="3" width="16.5" style="105" customWidth="1"/>
    <col min="4" max="4" width="11.75" style="105" customWidth="1"/>
    <col min="5" max="5" width="7.5" style="105" customWidth="1"/>
    <col min="6" max="257" width="9" style="105"/>
    <col min="258" max="258" width="68.25" style="105" customWidth="1"/>
    <col min="259" max="259" width="20.375" style="105" customWidth="1"/>
    <col min="260" max="513" width="9" style="105"/>
    <col min="514" max="514" width="68.25" style="105" customWidth="1"/>
    <col min="515" max="515" width="20.375" style="105" customWidth="1"/>
    <col min="516" max="769" width="9" style="105"/>
    <col min="770" max="770" width="68.25" style="105" customWidth="1"/>
    <col min="771" max="771" width="20.375" style="105" customWidth="1"/>
    <col min="772" max="1025" width="9" style="105"/>
    <col min="1026" max="1026" width="68.25" style="105" customWidth="1"/>
    <col min="1027" max="1027" width="20.375" style="105" customWidth="1"/>
    <col min="1028" max="1281" width="9" style="105"/>
    <col min="1282" max="1282" width="68.25" style="105" customWidth="1"/>
    <col min="1283" max="1283" width="20.375" style="105" customWidth="1"/>
    <col min="1284" max="1537" width="9" style="105"/>
    <col min="1538" max="1538" width="68.25" style="105" customWidth="1"/>
    <col min="1539" max="1539" width="20.375" style="105" customWidth="1"/>
    <col min="1540" max="1793" width="9" style="105"/>
    <col min="1794" max="1794" width="68.25" style="105" customWidth="1"/>
    <col min="1795" max="1795" width="20.375" style="105" customWidth="1"/>
    <col min="1796" max="2049" width="9" style="105"/>
    <col min="2050" max="2050" width="68.25" style="105" customWidth="1"/>
    <col min="2051" max="2051" width="20.375" style="105" customWidth="1"/>
    <col min="2052" max="2305" width="9" style="105"/>
    <col min="2306" max="2306" width="68.25" style="105" customWidth="1"/>
    <col min="2307" max="2307" width="20.375" style="105" customWidth="1"/>
    <col min="2308" max="2561" width="9" style="105"/>
    <col min="2562" max="2562" width="68.25" style="105" customWidth="1"/>
    <col min="2563" max="2563" width="20.375" style="105" customWidth="1"/>
    <col min="2564" max="2817" width="9" style="105"/>
    <col min="2818" max="2818" width="68.25" style="105" customWidth="1"/>
    <col min="2819" max="2819" width="20.375" style="105" customWidth="1"/>
    <col min="2820" max="3073" width="9" style="105"/>
    <col min="3074" max="3074" width="68.25" style="105" customWidth="1"/>
    <col min="3075" max="3075" width="20.375" style="105" customWidth="1"/>
    <col min="3076" max="3329" width="9" style="105"/>
    <col min="3330" max="3330" width="68.25" style="105" customWidth="1"/>
    <col min="3331" max="3331" width="20.375" style="105" customWidth="1"/>
    <col min="3332" max="3585" width="9" style="105"/>
    <col min="3586" max="3586" width="68.25" style="105" customWidth="1"/>
    <col min="3587" max="3587" width="20.375" style="105" customWidth="1"/>
    <col min="3588" max="3841" width="9" style="105"/>
    <col min="3842" max="3842" width="68.25" style="105" customWidth="1"/>
    <col min="3843" max="3843" width="20.375" style="105" customWidth="1"/>
    <col min="3844" max="4097" width="9" style="105"/>
    <col min="4098" max="4098" width="68.25" style="105" customWidth="1"/>
    <col min="4099" max="4099" width="20.375" style="105" customWidth="1"/>
    <col min="4100" max="4353" width="9" style="105"/>
    <col min="4354" max="4354" width="68.25" style="105" customWidth="1"/>
    <col min="4355" max="4355" width="20.375" style="105" customWidth="1"/>
    <col min="4356" max="4609" width="9" style="105"/>
    <col min="4610" max="4610" width="68.25" style="105" customWidth="1"/>
    <col min="4611" max="4611" width="20.375" style="105" customWidth="1"/>
    <col min="4612" max="4865" width="9" style="105"/>
    <col min="4866" max="4866" width="68.25" style="105" customWidth="1"/>
    <col min="4867" max="4867" width="20.375" style="105" customWidth="1"/>
    <col min="4868" max="5121" width="9" style="105"/>
    <col min="5122" max="5122" width="68.25" style="105" customWidth="1"/>
    <col min="5123" max="5123" width="20.375" style="105" customWidth="1"/>
    <col min="5124" max="5377" width="9" style="105"/>
    <col min="5378" max="5378" width="68.25" style="105" customWidth="1"/>
    <col min="5379" max="5379" width="20.375" style="105" customWidth="1"/>
    <col min="5380" max="5633" width="9" style="105"/>
    <col min="5634" max="5634" width="68.25" style="105" customWidth="1"/>
    <col min="5635" max="5635" width="20.375" style="105" customWidth="1"/>
    <col min="5636" max="5889" width="9" style="105"/>
    <col min="5890" max="5890" width="68.25" style="105" customWidth="1"/>
    <col min="5891" max="5891" width="20.375" style="105" customWidth="1"/>
    <col min="5892" max="6145" width="9" style="105"/>
    <col min="6146" max="6146" width="68.25" style="105" customWidth="1"/>
    <col min="6147" max="6147" width="20.375" style="105" customWidth="1"/>
    <col min="6148" max="6401" width="9" style="105"/>
    <col min="6402" max="6402" width="68.25" style="105" customWidth="1"/>
    <col min="6403" max="6403" width="20.375" style="105" customWidth="1"/>
    <col min="6404" max="6657" width="9" style="105"/>
    <col min="6658" max="6658" width="68.25" style="105" customWidth="1"/>
    <col min="6659" max="6659" width="20.375" style="105" customWidth="1"/>
    <col min="6660" max="6913" width="9" style="105"/>
    <col min="6914" max="6914" width="68.25" style="105" customWidth="1"/>
    <col min="6915" max="6915" width="20.375" style="105" customWidth="1"/>
    <col min="6916" max="7169" width="9" style="105"/>
    <col min="7170" max="7170" width="68.25" style="105" customWidth="1"/>
    <col min="7171" max="7171" width="20.375" style="105" customWidth="1"/>
    <col min="7172" max="7425" width="9" style="105"/>
    <col min="7426" max="7426" width="68.25" style="105" customWidth="1"/>
    <col min="7427" max="7427" width="20.375" style="105" customWidth="1"/>
    <col min="7428" max="7681" width="9" style="105"/>
    <col min="7682" max="7682" width="68.25" style="105" customWidth="1"/>
    <col min="7683" max="7683" width="20.375" style="105" customWidth="1"/>
    <col min="7684" max="7937" width="9" style="105"/>
    <col min="7938" max="7938" width="68.25" style="105" customWidth="1"/>
    <col min="7939" max="7939" width="20.375" style="105" customWidth="1"/>
    <col min="7940" max="8193" width="9" style="105"/>
    <col min="8194" max="8194" width="68.25" style="105" customWidth="1"/>
    <col min="8195" max="8195" width="20.375" style="105" customWidth="1"/>
    <col min="8196" max="8449" width="9" style="105"/>
    <col min="8450" max="8450" width="68.25" style="105" customWidth="1"/>
    <col min="8451" max="8451" width="20.375" style="105" customWidth="1"/>
    <col min="8452" max="8705" width="9" style="105"/>
    <col min="8706" max="8706" width="68.25" style="105" customWidth="1"/>
    <col min="8707" max="8707" width="20.375" style="105" customWidth="1"/>
    <col min="8708" max="8961" width="9" style="105"/>
    <col min="8962" max="8962" width="68.25" style="105" customWidth="1"/>
    <col min="8963" max="8963" width="20.375" style="105" customWidth="1"/>
    <col min="8964" max="9217" width="9" style="105"/>
    <col min="9218" max="9218" width="68.25" style="105" customWidth="1"/>
    <col min="9219" max="9219" width="20.375" style="105" customWidth="1"/>
    <col min="9220" max="9473" width="9" style="105"/>
    <col min="9474" max="9474" width="68.25" style="105" customWidth="1"/>
    <col min="9475" max="9475" width="20.375" style="105" customWidth="1"/>
    <col min="9476" max="9729" width="9" style="105"/>
    <col min="9730" max="9730" width="68.25" style="105" customWidth="1"/>
    <col min="9731" max="9731" width="20.375" style="105" customWidth="1"/>
    <col min="9732" max="9985" width="9" style="105"/>
    <col min="9986" max="9986" width="68.25" style="105" customWidth="1"/>
    <col min="9987" max="9987" width="20.375" style="105" customWidth="1"/>
    <col min="9988" max="10241" width="9" style="105"/>
    <col min="10242" max="10242" width="68.25" style="105" customWidth="1"/>
    <col min="10243" max="10243" width="20.375" style="105" customWidth="1"/>
    <col min="10244" max="10497" width="9" style="105"/>
    <col min="10498" max="10498" width="68.25" style="105" customWidth="1"/>
    <col min="10499" max="10499" width="20.375" style="105" customWidth="1"/>
    <col min="10500" max="10753" width="9" style="105"/>
    <col min="10754" max="10754" width="68.25" style="105" customWidth="1"/>
    <col min="10755" max="10755" width="20.375" style="105" customWidth="1"/>
    <col min="10756" max="11009" width="9" style="105"/>
    <col min="11010" max="11010" width="68.25" style="105" customWidth="1"/>
    <col min="11011" max="11011" width="20.375" style="105" customWidth="1"/>
    <col min="11012" max="11265" width="9" style="105"/>
    <col min="11266" max="11266" width="68.25" style="105" customWidth="1"/>
    <col min="11267" max="11267" width="20.375" style="105" customWidth="1"/>
    <col min="11268" max="11521" width="9" style="105"/>
    <col min="11522" max="11522" width="68.25" style="105" customWidth="1"/>
    <col min="11523" max="11523" width="20.375" style="105" customWidth="1"/>
    <col min="11524" max="11777" width="9" style="105"/>
    <col min="11778" max="11778" width="68.25" style="105" customWidth="1"/>
    <col min="11779" max="11779" width="20.375" style="105" customWidth="1"/>
    <col min="11780" max="12033" width="9" style="105"/>
    <col min="12034" max="12034" width="68.25" style="105" customWidth="1"/>
    <col min="12035" max="12035" width="20.375" style="105" customWidth="1"/>
    <col min="12036" max="12289" width="9" style="105"/>
    <col min="12290" max="12290" width="68.25" style="105" customWidth="1"/>
    <col min="12291" max="12291" width="20.375" style="105" customWidth="1"/>
    <col min="12292" max="12545" width="9" style="105"/>
    <col min="12546" max="12546" width="68.25" style="105" customWidth="1"/>
    <col min="12547" max="12547" width="20.375" style="105" customWidth="1"/>
    <col min="12548" max="12801" width="9" style="105"/>
    <col min="12802" max="12802" width="68.25" style="105" customWidth="1"/>
    <col min="12803" max="12803" width="20.375" style="105" customWidth="1"/>
    <col min="12804" max="13057" width="9" style="105"/>
    <col min="13058" max="13058" width="68.25" style="105" customWidth="1"/>
    <col min="13059" max="13059" width="20.375" style="105" customWidth="1"/>
    <col min="13060" max="13313" width="9" style="105"/>
    <col min="13314" max="13314" width="68.25" style="105" customWidth="1"/>
    <col min="13315" max="13315" width="20.375" style="105" customWidth="1"/>
    <col min="13316" max="13569" width="9" style="105"/>
    <col min="13570" max="13570" width="68.25" style="105" customWidth="1"/>
    <col min="13571" max="13571" width="20.375" style="105" customWidth="1"/>
    <col min="13572" max="13825" width="9" style="105"/>
    <col min="13826" max="13826" width="68.25" style="105" customWidth="1"/>
    <col min="13827" max="13827" width="20.375" style="105" customWidth="1"/>
    <col min="13828" max="14081" width="9" style="105"/>
    <col min="14082" max="14082" width="68.25" style="105" customWidth="1"/>
    <col min="14083" max="14083" width="20.375" style="105" customWidth="1"/>
    <col min="14084" max="14337" width="9" style="105"/>
    <col min="14338" max="14338" width="68.25" style="105" customWidth="1"/>
    <col min="14339" max="14339" width="20.375" style="105" customWidth="1"/>
    <col min="14340" max="14593" width="9" style="105"/>
    <col min="14594" max="14594" width="68.25" style="105" customWidth="1"/>
    <col min="14595" max="14595" width="20.375" style="105" customWidth="1"/>
    <col min="14596" max="14849" width="9" style="105"/>
    <col min="14850" max="14850" width="68.25" style="105" customWidth="1"/>
    <col min="14851" max="14851" width="20.375" style="105" customWidth="1"/>
    <col min="14852" max="15105" width="9" style="105"/>
    <col min="15106" max="15106" width="68.25" style="105" customWidth="1"/>
    <col min="15107" max="15107" width="20.375" style="105" customWidth="1"/>
    <col min="15108" max="15361" width="9" style="105"/>
    <col min="15362" max="15362" width="68.25" style="105" customWidth="1"/>
    <col min="15363" max="15363" width="20.375" style="105" customWidth="1"/>
    <col min="15364" max="15617" width="9" style="105"/>
    <col min="15618" max="15618" width="68.25" style="105" customWidth="1"/>
    <col min="15619" max="15619" width="20.375" style="105" customWidth="1"/>
    <col min="15620" max="15873" width="9" style="105"/>
    <col min="15874" max="15874" width="68.25" style="105" customWidth="1"/>
    <col min="15875" max="15875" width="20.375" style="105" customWidth="1"/>
    <col min="15876" max="16129" width="9" style="105"/>
    <col min="16130" max="16130" width="68.25" style="105" customWidth="1"/>
    <col min="16131" max="16131" width="20.375" style="105" customWidth="1"/>
    <col min="16132" max="16384" width="9" style="105"/>
  </cols>
  <sheetData>
    <row r="1" spans="1:7" s="94" customFormat="1" ht="21.75" thickBot="1">
      <c r="A1" s="1367" t="s">
        <v>1005</v>
      </c>
      <c r="B1" s="1367"/>
      <c r="C1" s="1367"/>
    </row>
    <row r="2" spans="1:7" s="1134" customFormat="1" ht="18.75">
      <c r="A2" s="241"/>
      <c r="B2" s="242" t="s">
        <v>0</v>
      </c>
      <c r="C2" s="243" t="s">
        <v>1</v>
      </c>
    </row>
    <row r="3" spans="1:7" s="94" customFormat="1" ht="42" customHeight="1" thickBot="1">
      <c r="A3" s="244"/>
      <c r="B3" s="1311" t="s">
        <v>360</v>
      </c>
      <c r="C3" s="245" t="s">
        <v>2</v>
      </c>
    </row>
    <row r="4" spans="1:7" ht="19.5" thickBot="1">
      <c r="A4" s="1441" t="s">
        <v>361</v>
      </c>
      <c r="B4" s="1442"/>
      <c r="C4" s="1443"/>
    </row>
    <row r="5" spans="1:7" ht="18.75">
      <c r="A5" s="1177"/>
      <c r="B5" s="1178" t="s">
        <v>3</v>
      </c>
      <c r="C5" s="1179" t="s">
        <v>7</v>
      </c>
      <c r="D5" s="1329"/>
      <c r="E5" s="1330" t="s">
        <v>1840</v>
      </c>
      <c r="F5" s="1331" t="s">
        <v>79</v>
      </c>
      <c r="G5" s="105" t="s">
        <v>1001</v>
      </c>
    </row>
    <row r="6" spans="1:7" ht="18.75">
      <c r="A6" s="1180">
        <v>1</v>
      </c>
      <c r="B6" s="1181" t="s">
        <v>1865</v>
      </c>
      <c r="C6" s="1182">
        <v>70000</v>
      </c>
      <c r="D6" s="1332" t="s">
        <v>1860</v>
      </c>
      <c r="E6" s="1333">
        <v>1</v>
      </c>
      <c r="F6" s="1334">
        <v>1</v>
      </c>
    </row>
    <row r="7" spans="1:7" ht="18.75">
      <c r="A7" s="1180">
        <v>2</v>
      </c>
      <c r="B7" s="1181" t="s">
        <v>1866</v>
      </c>
      <c r="C7" s="1182">
        <v>100000</v>
      </c>
      <c r="D7" s="1332" t="s">
        <v>1861</v>
      </c>
      <c r="E7" s="1333">
        <v>2</v>
      </c>
      <c r="F7" s="1334">
        <v>1</v>
      </c>
    </row>
    <row r="8" spans="1:7" ht="18.75">
      <c r="A8" s="1180">
        <v>3</v>
      </c>
      <c r="B8" s="1181" t="s">
        <v>1867</v>
      </c>
      <c r="C8" s="1182">
        <v>200000</v>
      </c>
      <c r="D8" s="1332" t="s">
        <v>1861</v>
      </c>
      <c r="E8" s="1333">
        <v>2</v>
      </c>
      <c r="F8" s="1334">
        <v>2</v>
      </c>
    </row>
    <row r="9" spans="1:7" ht="18.75">
      <c r="A9" s="1180">
        <v>4</v>
      </c>
      <c r="B9" s="1181" t="s">
        <v>1868</v>
      </c>
      <c r="C9" s="1182">
        <v>50000</v>
      </c>
      <c r="D9" s="1332" t="s">
        <v>1861</v>
      </c>
      <c r="E9" s="1333">
        <v>1</v>
      </c>
      <c r="F9" s="1334">
        <v>1</v>
      </c>
    </row>
    <row r="10" spans="1:7" ht="18.75">
      <c r="A10" s="1180">
        <v>5</v>
      </c>
      <c r="B10" s="1181" t="s">
        <v>1870</v>
      </c>
      <c r="C10" s="1182">
        <v>200000</v>
      </c>
      <c r="D10" s="1332" t="s">
        <v>1861</v>
      </c>
      <c r="E10" s="1333">
        <v>2</v>
      </c>
      <c r="F10" s="1334">
        <v>2</v>
      </c>
    </row>
    <row r="11" spans="1:7" ht="18.75">
      <c r="A11" s="1180">
        <v>6</v>
      </c>
      <c r="B11" s="1181" t="s">
        <v>1869</v>
      </c>
      <c r="C11" s="1182">
        <v>120000</v>
      </c>
      <c r="D11" s="1332" t="s">
        <v>1862</v>
      </c>
      <c r="E11" s="1333">
        <v>2</v>
      </c>
      <c r="F11" s="1334">
        <v>2</v>
      </c>
    </row>
    <row r="12" spans="1:7" ht="18.75">
      <c r="A12" s="1180">
        <v>7</v>
      </c>
      <c r="B12" s="1181" t="s">
        <v>1871</v>
      </c>
      <c r="C12" s="1182">
        <v>300000</v>
      </c>
      <c r="D12" s="1332" t="s">
        <v>1863</v>
      </c>
      <c r="E12" s="1333">
        <v>2</v>
      </c>
      <c r="F12" s="1334">
        <v>5</v>
      </c>
    </row>
    <row r="13" spans="1:7" ht="18.75">
      <c r="A13" s="1180">
        <v>8</v>
      </c>
      <c r="B13" s="1183" t="s">
        <v>1872</v>
      </c>
      <c r="C13" s="1182">
        <v>384000</v>
      </c>
      <c r="D13" s="1335"/>
      <c r="E13" s="1335"/>
      <c r="F13" s="1335"/>
    </row>
    <row r="14" spans="1:7" ht="18.75">
      <c r="A14" s="1180">
        <v>9</v>
      </c>
      <c r="B14" s="1183" t="s">
        <v>1873</v>
      </c>
      <c r="C14" s="1182">
        <v>640000</v>
      </c>
      <c r="D14" s="1332" t="s">
        <v>1863</v>
      </c>
      <c r="E14" s="1336">
        <v>8</v>
      </c>
      <c r="F14" s="1337">
        <v>4</v>
      </c>
    </row>
    <row r="15" spans="1:7" ht="21.75" thickBot="1">
      <c r="A15" s="1184"/>
      <c r="B15" s="1185"/>
      <c r="C15" s="1186">
        <v>2064000</v>
      </c>
      <c r="D15" s="1332" t="s">
        <v>1864</v>
      </c>
      <c r="E15" s="1336">
        <v>8</v>
      </c>
      <c r="F15" s="1337">
        <v>4</v>
      </c>
    </row>
    <row r="16" spans="1:7" ht="18.75">
      <c r="A16" s="1444" t="s">
        <v>362</v>
      </c>
      <c r="B16" s="1445"/>
      <c r="C16" s="1187"/>
    </row>
    <row r="17" spans="1:3" ht="18.75">
      <c r="A17" s="1188">
        <v>2.1</v>
      </c>
      <c r="B17" s="1436" t="s">
        <v>1945</v>
      </c>
      <c r="C17" s="1189" t="s">
        <v>1</v>
      </c>
    </row>
    <row r="18" spans="1:3" ht="18.75">
      <c r="A18" s="1190"/>
      <c r="B18" s="1437"/>
      <c r="C18" s="1191"/>
    </row>
    <row r="19" spans="1:3" ht="18.75">
      <c r="A19" s="1192">
        <v>1</v>
      </c>
      <c r="B19" s="1193" t="s">
        <v>186</v>
      </c>
      <c r="C19" s="1194">
        <v>5000</v>
      </c>
    </row>
    <row r="20" spans="1:3" ht="18.75">
      <c r="A20" s="1180">
        <v>2</v>
      </c>
      <c r="B20" s="1195" t="s">
        <v>187</v>
      </c>
      <c r="C20" s="1196">
        <v>2000</v>
      </c>
    </row>
    <row r="21" spans="1:3" ht="18.75">
      <c r="A21" s="1197">
        <v>3</v>
      </c>
      <c r="B21" s="1195" t="s">
        <v>188</v>
      </c>
      <c r="C21" s="1196">
        <v>10000</v>
      </c>
    </row>
    <row r="22" spans="1:3" ht="18.75">
      <c r="A22" s="1180">
        <v>4</v>
      </c>
      <c r="B22" s="1198" t="s">
        <v>189</v>
      </c>
      <c r="C22" s="1196">
        <v>1400</v>
      </c>
    </row>
    <row r="23" spans="1:3" ht="18.75">
      <c r="A23" s="1199"/>
      <c r="B23" s="1200"/>
      <c r="C23" s="1201">
        <v>18400</v>
      </c>
    </row>
    <row r="24" spans="1:3" ht="18.75">
      <c r="A24" s="1188">
        <v>2.2000000000000002</v>
      </c>
      <c r="B24" s="1436" t="s">
        <v>1946</v>
      </c>
      <c r="C24" s="1189" t="s">
        <v>1</v>
      </c>
    </row>
    <row r="25" spans="1:3" ht="78.75" customHeight="1">
      <c r="A25" s="1190"/>
      <c r="B25" s="1437"/>
      <c r="C25" s="1191"/>
    </row>
    <row r="26" spans="1:3" ht="18.75">
      <c r="A26" s="1202">
        <v>1</v>
      </c>
      <c r="B26" s="1203" t="s">
        <v>363</v>
      </c>
      <c r="C26" s="1194">
        <v>28000</v>
      </c>
    </row>
    <row r="27" spans="1:3" ht="18.75">
      <c r="A27" s="1204">
        <v>2</v>
      </c>
      <c r="B27" s="1205" t="s">
        <v>364</v>
      </c>
      <c r="C27" s="1196">
        <v>40000</v>
      </c>
    </row>
    <row r="28" spans="1:3" ht="18.75">
      <c r="A28" s="1206">
        <v>3</v>
      </c>
      <c r="B28" s="1207" t="s">
        <v>365</v>
      </c>
      <c r="C28" s="1196">
        <v>160000</v>
      </c>
    </row>
    <row r="29" spans="1:3" ht="18.75">
      <c r="A29" s="1204">
        <v>4</v>
      </c>
      <c r="B29" s="1207" t="s">
        <v>366</v>
      </c>
      <c r="C29" s="1196">
        <v>400000</v>
      </c>
    </row>
    <row r="30" spans="1:3" ht="18.75">
      <c r="A30" s="1206">
        <v>5</v>
      </c>
      <c r="B30" s="1205" t="s">
        <v>367</v>
      </c>
      <c r="C30" s="1196">
        <v>19200</v>
      </c>
    </row>
    <row r="31" spans="1:3" ht="18.75">
      <c r="A31" s="1204">
        <v>6</v>
      </c>
      <c r="B31" s="1205" t="s">
        <v>368</v>
      </c>
      <c r="C31" s="1196">
        <v>8000</v>
      </c>
    </row>
    <row r="32" spans="1:3" ht="18.75">
      <c r="A32" s="1206">
        <v>7</v>
      </c>
      <c r="B32" s="1205" t="s">
        <v>369</v>
      </c>
      <c r="C32" s="1196">
        <v>20000</v>
      </c>
    </row>
    <row r="33" spans="1:9" ht="18.75">
      <c r="A33" s="1208"/>
      <c r="B33" s="1209"/>
      <c r="C33" s="1201">
        <v>675200</v>
      </c>
    </row>
    <row r="34" spans="1:9" ht="18.75">
      <c r="A34" s="1188">
        <v>2.2999999999999998</v>
      </c>
      <c r="B34" s="1436" t="s">
        <v>1947</v>
      </c>
      <c r="C34" s="1189" t="s">
        <v>1</v>
      </c>
      <c r="D34" s="1210"/>
      <c r="E34" s="1210"/>
      <c r="F34" s="1210"/>
      <c r="G34" s="1210"/>
      <c r="H34" s="1210"/>
      <c r="I34" s="1210"/>
    </row>
    <row r="35" spans="1:9" ht="37.5" customHeight="1">
      <c r="A35" s="1211"/>
      <c r="B35" s="1437"/>
      <c r="C35" s="1191"/>
      <c r="D35" s="1210"/>
      <c r="E35" s="1210"/>
      <c r="F35" s="1210"/>
      <c r="G35" s="1210"/>
      <c r="H35" s="1210"/>
      <c r="I35" s="1210"/>
    </row>
    <row r="36" spans="1:9" ht="18.75">
      <c r="A36" s="1212">
        <v>1</v>
      </c>
      <c r="B36" s="1213" t="s">
        <v>370</v>
      </c>
      <c r="C36" s="1214">
        <v>20000</v>
      </c>
      <c r="D36" s="1210"/>
      <c r="E36" s="1210"/>
      <c r="F36" s="1210"/>
      <c r="G36" s="1210"/>
      <c r="H36" s="1210"/>
      <c r="I36" s="1210"/>
    </row>
    <row r="37" spans="1:9" ht="18.75">
      <c r="A37" s="1215">
        <v>2</v>
      </c>
      <c r="B37" s="1216" t="s">
        <v>371</v>
      </c>
      <c r="C37" s="1217">
        <v>20000</v>
      </c>
      <c r="D37" s="1210"/>
      <c r="E37" s="1210"/>
      <c r="F37" s="1210"/>
      <c r="G37" s="1210"/>
      <c r="H37" s="1210"/>
      <c r="I37" s="1210"/>
    </row>
    <row r="38" spans="1:9" ht="18.75">
      <c r="A38" s="1215">
        <v>3</v>
      </c>
      <c r="B38" s="1216" t="s">
        <v>372</v>
      </c>
      <c r="C38" s="1217">
        <v>100000</v>
      </c>
      <c r="D38" s="1210"/>
      <c r="E38" s="1210"/>
      <c r="F38" s="1210"/>
      <c r="G38" s="1210"/>
      <c r="H38" s="1210"/>
      <c r="I38" s="1210"/>
    </row>
    <row r="39" spans="1:9" ht="18.75">
      <c r="A39" s="1215">
        <v>4</v>
      </c>
      <c r="B39" s="1218" t="s">
        <v>373</v>
      </c>
      <c r="C39" s="1217">
        <v>14000</v>
      </c>
      <c r="D39" s="1210"/>
      <c r="E39" s="1210"/>
      <c r="F39" s="1210"/>
      <c r="G39" s="1210"/>
      <c r="H39" s="1210"/>
      <c r="I39" s="1210"/>
    </row>
    <row r="40" spans="1:9" ht="18.75">
      <c r="A40" s="1215">
        <v>5</v>
      </c>
      <c r="B40" s="1219" t="s">
        <v>374</v>
      </c>
      <c r="C40" s="1217">
        <v>20000</v>
      </c>
      <c r="D40" s="1210"/>
      <c r="E40" s="1210"/>
      <c r="F40" s="1210"/>
      <c r="G40" s="1210"/>
      <c r="H40" s="1210"/>
      <c r="I40" s="1210"/>
    </row>
    <row r="41" spans="1:9" ht="18.75">
      <c r="A41" s="1215">
        <v>6</v>
      </c>
      <c r="B41" s="1219" t="s">
        <v>375</v>
      </c>
      <c r="C41" s="1217">
        <v>4800</v>
      </c>
      <c r="D41" s="1210"/>
      <c r="E41" s="1210"/>
      <c r="F41" s="1210"/>
      <c r="G41" s="1210"/>
      <c r="H41" s="1210"/>
      <c r="I41" s="1210"/>
    </row>
    <row r="42" spans="1:9" ht="18.75">
      <c r="A42" s="1215">
        <v>7</v>
      </c>
      <c r="B42" s="1219" t="s">
        <v>208</v>
      </c>
      <c r="C42" s="1217">
        <v>8000</v>
      </c>
      <c r="D42" s="1210"/>
      <c r="E42" s="1210"/>
      <c r="F42" s="1210"/>
      <c r="G42" s="1210"/>
      <c r="H42" s="1210"/>
      <c r="I42" s="1210"/>
    </row>
    <row r="43" spans="1:9" ht="18.75">
      <c r="A43" s="1215">
        <v>8</v>
      </c>
      <c r="B43" s="1219" t="s">
        <v>376</v>
      </c>
      <c r="C43" s="1217">
        <v>14000</v>
      </c>
      <c r="D43" s="1210"/>
      <c r="E43" s="1210"/>
      <c r="F43" s="1210"/>
      <c r="G43" s="1210"/>
      <c r="H43" s="1210"/>
      <c r="I43" s="1210"/>
    </row>
    <row r="44" spans="1:9" ht="21">
      <c r="A44" s="1220"/>
      <c r="B44" s="1221"/>
      <c r="C44" s="1222">
        <v>200800</v>
      </c>
      <c r="D44" s="1210"/>
      <c r="E44" s="1210"/>
      <c r="F44" s="1210"/>
      <c r="G44" s="1210"/>
      <c r="H44" s="1210"/>
      <c r="I44" s="1210"/>
    </row>
    <row r="45" spans="1:9" ht="18.75">
      <c r="A45" s="1223">
        <v>2.4</v>
      </c>
      <c r="B45" s="1436" t="s">
        <v>1948</v>
      </c>
      <c r="C45" s="1189" t="s">
        <v>1</v>
      </c>
      <c r="D45" s="1210"/>
      <c r="E45" s="1210"/>
      <c r="F45" s="1210"/>
      <c r="G45" s="1210"/>
      <c r="H45" s="1210"/>
      <c r="I45" s="1210"/>
    </row>
    <row r="46" spans="1:9" ht="18.75">
      <c r="A46" s="1224"/>
      <c r="B46" s="1438"/>
      <c r="C46" s="1225"/>
      <c r="D46" s="1210"/>
      <c r="E46" s="1210"/>
      <c r="F46" s="1210"/>
      <c r="G46" s="1210"/>
      <c r="H46" s="1210"/>
      <c r="I46" s="1210"/>
    </row>
    <row r="47" spans="1:9" ht="3.75" customHeight="1">
      <c r="A47" s="1211"/>
      <c r="B47" s="1437"/>
      <c r="C47" s="1191"/>
      <c r="D47" s="1178"/>
      <c r="E47" s="1178"/>
      <c r="F47" s="1178"/>
      <c r="G47" s="1226"/>
      <c r="H47" s="1227"/>
      <c r="I47" s="1210"/>
    </row>
    <row r="48" spans="1:9" ht="18.75">
      <c r="A48" s="1202">
        <v>1</v>
      </c>
      <c r="B48" s="1228" t="s">
        <v>377</v>
      </c>
      <c r="C48" s="1194">
        <v>7000</v>
      </c>
      <c r="D48" s="1229"/>
      <c r="E48" s="1230"/>
      <c r="F48" s="1231"/>
      <c r="G48" s="1231"/>
      <c r="H48" s="1232"/>
      <c r="I48" s="1210"/>
    </row>
    <row r="49" spans="1:9" ht="18.75">
      <c r="A49" s="1204">
        <v>2</v>
      </c>
      <c r="B49" s="1233" t="s">
        <v>37</v>
      </c>
      <c r="C49" s="1196">
        <v>10000</v>
      </c>
      <c r="D49" s="1229"/>
      <c r="E49" s="1230"/>
      <c r="F49" s="1231"/>
      <c r="G49" s="1231"/>
      <c r="H49" s="1232"/>
      <c r="I49" s="1210"/>
    </row>
    <row r="50" spans="1:9" ht="18.75">
      <c r="A50" s="1206">
        <v>3</v>
      </c>
      <c r="B50" s="1234" t="s">
        <v>378</v>
      </c>
      <c r="C50" s="1196">
        <v>10000</v>
      </c>
      <c r="D50" s="1235"/>
      <c r="E50" s="1236"/>
      <c r="F50" s="1237"/>
      <c r="G50" s="1238"/>
      <c r="H50" s="1239"/>
      <c r="I50" s="1210"/>
    </row>
    <row r="51" spans="1:9" ht="18.75">
      <c r="A51" s="1204">
        <v>4</v>
      </c>
      <c r="B51" s="1234" t="s">
        <v>379</v>
      </c>
      <c r="C51" s="1196">
        <v>50000</v>
      </c>
      <c r="D51" s="1235"/>
      <c r="E51" s="1236"/>
      <c r="F51" s="1237"/>
      <c r="G51" s="1238"/>
      <c r="H51" s="1239"/>
      <c r="I51" s="1210"/>
    </row>
    <row r="52" spans="1:9" ht="18.75">
      <c r="A52" s="1206">
        <v>5</v>
      </c>
      <c r="B52" s="1233" t="s">
        <v>380</v>
      </c>
      <c r="C52" s="1196">
        <v>9600</v>
      </c>
      <c r="D52" s="1235"/>
      <c r="E52" s="1236"/>
      <c r="F52" s="1237"/>
      <c r="G52" s="1238"/>
      <c r="H52" s="1239"/>
      <c r="I52" s="1210"/>
    </row>
    <row r="53" spans="1:9" ht="18.75">
      <c r="A53" s="1204">
        <v>6</v>
      </c>
      <c r="B53" s="1233" t="s">
        <v>368</v>
      </c>
      <c r="C53" s="1196">
        <v>8000</v>
      </c>
      <c r="D53" s="1235"/>
      <c r="E53" s="1236"/>
      <c r="F53" s="1237"/>
      <c r="G53" s="1238"/>
      <c r="H53" s="1239"/>
      <c r="I53" s="1210"/>
    </row>
    <row r="54" spans="1:9" ht="18.75">
      <c r="A54" s="1206">
        <v>7</v>
      </c>
      <c r="B54" s="1233" t="s">
        <v>381</v>
      </c>
      <c r="C54" s="1196">
        <v>10000</v>
      </c>
      <c r="D54" s="1235"/>
      <c r="E54" s="1236"/>
      <c r="F54" s="1237"/>
      <c r="G54" s="1238"/>
      <c r="H54" s="1239"/>
      <c r="I54" s="1210"/>
    </row>
    <row r="55" spans="1:9" ht="18.75">
      <c r="A55" s="1204">
        <v>8</v>
      </c>
      <c r="B55" s="1233" t="s">
        <v>382</v>
      </c>
      <c r="C55" s="1196">
        <v>150000</v>
      </c>
      <c r="D55" s="1235"/>
      <c r="E55" s="1236"/>
      <c r="F55" s="1237"/>
      <c r="G55" s="1238"/>
      <c r="H55" s="1239"/>
      <c r="I55" s="1210"/>
    </row>
    <row r="56" spans="1:9" ht="18.75">
      <c r="A56" s="1206">
        <v>9</v>
      </c>
      <c r="B56" s="1233" t="s">
        <v>383</v>
      </c>
      <c r="C56" s="1196">
        <v>230000</v>
      </c>
      <c r="D56" s="1235"/>
      <c r="E56" s="1236"/>
      <c r="F56" s="1237"/>
      <c r="G56" s="1238"/>
      <c r="H56" s="1239"/>
      <c r="I56" s="1210"/>
    </row>
    <row r="57" spans="1:9" ht="21">
      <c r="A57" s="1240"/>
      <c r="B57" s="1241"/>
      <c r="C57" s="1186">
        <v>484600</v>
      </c>
      <c r="D57" s="1242"/>
      <c r="E57" s="1236"/>
      <c r="F57" s="1243"/>
      <c r="G57" s="1244"/>
      <c r="H57" s="1239"/>
      <c r="I57" s="1210"/>
    </row>
    <row r="58" spans="1:9" ht="75">
      <c r="A58" s="1245">
        <v>2.5</v>
      </c>
      <c r="B58" s="1246" t="s">
        <v>1949</v>
      </c>
      <c r="C58" s="1247" t="s">
        <v>1</v>
      </c>
      <c r="D58" s="1242"/>
      <c r="E58" s="1236"/>
      <c r="F58" s="1243"/>
      <c r="G58" s="1244"/>
      <c r="H58" s="1239"/>
      <c r="I58" s="1210"/>
    </row>
    <row r="59" spans="1:9" ht="18.75">
      <c r="A59" s="1248">
        <v>1</v>
      </c>
      <c r="B59" s="1249" t="s">
        <v>384</v>
      </c>
      <c r="C59" s="1250">
        <v>1600000</v>
      </c>
      <c r="D59" s="1242"/>
      <c r="E59" s="1236"/>
      <c r="F59" s="1243"/>
      <c r="G59" s="1244"/>
      <c r="H59" s="1239"/>
      <c r="I59" s="1210"/>
    </row>
    <row r="60" spans="1:9" ht="21">
      <c r="A60" s="1251"/>
      <c r="B60" s="1252"/>
      <c r="C60" s="1222">
        <v>1600000</v>
      </c>
      <c r="D60" s="1242"/>
      <c r="E60" s="1236"/>
      <c r="F60" s="1243"/>
      <c r="G60" s="1244"/>
      <c r="H60" s="1239"/>
      <c r="I60" s="1210"/>
    </row>
    <row r="61" spans="1:9" ht="56.25">
      <c r="A61" s="1253">
        <v>2.6</v>
      </c>
      <c r="B61" s="1254" t="s">
        <v>1950</v>
      </c>
      <c r="C61" s="1255" t="s">
        <v>1</v>
      </c>
      <c r="D61" s="1242"/>
      <c r="E61" s="1236"/>
      <c r="F61" s="1243"/>
      <c r="G61" s="1244"/>
      <c r="H61" s="1239"/>
      <c r="I61" s="1210"/>
    </row>
    <row r="62" spans="1:9" ht="18.75">
      <c r="A62" s="1256">
        <v>1</v>
      </c>
      <c r="B62" s="1257" t="s">
        <v>385</v>
      </c>
      <c r="C62" s="1258">
        <v>25000</v>
      </c>
      <c r="D62" s="1242"/>
      <c r="E62" s="1236"/>
      <c r="F62" s="1243"/>
      <c r="G62" s="1244"/>
      <c r="H62" s="1239"/>
      <c r="I62" s="1210"/>
    </row>
    <row r="63" spans="1:9" ht="18.75">
      <c r="A63" s="1259">
        <v>2</v>
      </c>
      <c r="B63" s="1260" t="s">
        <v>386</v>
      </c>
      <c r="C63" s="1261">
        <v>48000</v>
      </c>
      <c r="D63" s="1242"/>
      <c r="E63" s="1236"/>
      <c r="F63" s="1243"/>
      <c r="G63" s="1244"/>
      <c r="H63" s="1239"/>
      <c r="I63" s="1210"/>
    </row>
    <row r="64" spans="1:9" ht="18.75">
      <c r="A64" s="1259">
        <v>3</v>
      </c>
      <c r="B64" s="1260" t="s">
        <v>387</v>
      </c>
      <c r="C64" s="1261">
        <v>160000</v>
      </c>
      <c r="D64" s="1242"/>
      <c r="E64" s="1236"/>
      <c r="F64" s="1243"/>
      <c r="G64" s="1244"/>
      <c r="H64" s="1239"/>
      <c r="I64" s="1210"/>
    </row>
    <row r="65" spans="1:9" ht="18.75">
      <c r="A65" s="1259">
        <v>4</v>
      </c>
      <c r="B65" s="1260" t="s">
        <v>388</v>
      </c>
      <c r="C65" s="1261">
        <v>14000</v>
      </c>
      <c r="D65" s="1242"/>
      <c r="E65" s="1236"/>
      <c r="F65" s="1243"/>
      <c r="G65" s="1244"/>
      <c r="H65" s="1239"/>
      <c r="I65" s="1210"/>
    </row>
    <row r="66" spans="1:9" ht="21">
      <c r="A66" s="1262"/>
      <c r="B66" s="1263"/>
      <c r="C66" s="1264">
        <v>247000</v>
      </c>
      <c r="D66" s="1242"/>
      <c r="E66" s="1236"/>
      <c r="F66" s="1243"/>
      <c r="G66" s="1244"/>
      <c r="H66" s="1239"/>
      <c r="I66" s="1210"/>
    </row>
    <row r="67" spans="1:9" ht="37.5">
      <c r="A67" s="1253">
        <v>2.7</v>
      </c>
      <c r="B67" s="1254" t="s">
        <v>1951</v>
      </c>
      <c r="C67" s="1255" t="s">
        <v>1</v>
      </c>
      <c r="D67" s="1242"/>
      <c r="E67" s="1236"/>
      <c r="F67" s="1243"/>
      <c r="G67" s="1244"/>
      <c r="H67" s="1239"/>
      <c r="I67" s="1210"/>
    </row>
    <row r="68" spans="1:9" ht="37.5">
      <c r="A68" s="1248">
        <v>1</v>
      </c>
      <c r="B68" s="1265" t="s">
        <v>389</v>
      </c>
      <c r="C68" s="1266">
        <v>2400000</v>
      </c>
      <c r="D68" s="1242"/>
      <c r="E68" s="1236"/>
      <c r="F68" s="1243"/>
      <c r="G68" s="1244"/>
      <c r="H68" s="1239"/>
      <c r="I68" s="1210"/>
    </row>
    <row r="69" spans="1:9" ht="37.5">
      <c r="A69" s="1259">
        <v>2</v>
      </c>
      <c r="B69" s="1267" t="s">
        <v>390</v>
      </c>
      <c r="C69" s="1268">
        <v>2000000</v>
      </c>
      <c r="D69" s="1242"/>
      <c r="E69" s="1236"/>
      <c r="F69" s="1243"/>
      <c r="G69" s="1244"/>
      <c r="H69" s="1239"/>
      <c r="I69" s="1210"/>
    </row>
    <row r="70" spans="1:9" ht="37.5">
      <c r="A70" s="1259">
        <v>3</v>
      </c>
      <c r="B70" s="1267" t="s">
        <v>391</v>
      </c>
      <c r="C70" s="1268">
        <v>640000</v>
      </c>
      <c r="D70" s="1242"/>
      <c r="E70" s="1236"/>
      <c r="F70" s="1243"/>
      <c r="G70" s="1244"/>
      <c r="H70" s="1239"/>
      <c r="I70" s="1210"/>
    </row>
    <row r="71" spans="1:9" ht="56.25">
      <c r="A71" s="1259">
        <v>4</v>
      </c>
      <c r="B71" s="1267" t="s">
        <v>392</v>
      </c>
      <c r="C71" s="1268">
        <v>500000</v>
      </c>
      <c r="D71" s="1242"/>
      <c r="E71" s="1236"/>
      <c r="F71" s="1243"/>
      <c r="G71" s="1244"/>
      <c r="H71" s="1239"/>
      <c r="I71" s="1210"/>
    </row>
    <row r="72" spans="1:9" ht="37.5">
      <c r="A72" s="1259">
        <v>5</v>
      </c>
      <c r="B72" s="1267" t="s">
        <v>393</v>
      </c>
      <c r="C72" s="1268">
        <v>500000</v>
      </c>
      <c r="D72" s="1242"/>
      <c r="E72" s="1236"/>
      <c r="F72" s="1243"/>
      <c r="G72" s="1244"/>
      <c r="H72" s="1239"/>
      <c r="I72" s="1210"/>
    </row>
    <row r="73" spans="1:9" ht="18.75">
      <c r="A73" s="1259">
        <v>6</v>
      </c>
      <c r="B73" s="1267" t="s">
        <v>394</v>
      </c>
      <c r="C73" s="1268">
        <v>200000</v>
      </c>
      <c r="D73" s="1242"/>
      <c r="E73" s="1236"/>
      <c r="F73" s="1243"/>
      <c r="G73" s="1244"/>
      <c r="H73" s="1239"/>
      <c r="I73" s="1210"/>
    </row>
    <row r="74" spans="1:9" ht="37.5">
      <c r="A74" s="1259">
        <v>7</v>
      </c>
      <c r="B74" s="1267" t="s">
        <v>395</v>
      </c>
      <c r="C74" s="1268">
        <v>900000</v>
      </c>
      <c r="D74" s="1242"/>
      <c r="E74" s="1236"/>
      <c r="F74" s="1243"/>
      <c r="G74" s="1244"/>
      <c r="H74" s="1239"/>
      <c r="I74" s="1210"/>
    </row>
    <row r="75" spans="1:9" ht="18.75">
      <c r="A75" s="1259">
        <v>8</v>
      </c>
      <c r="B75" s="1267" t="s">
        <v>396</v>
      </c>
      <c r="C75" s="1268">
        <v>1000000</v>
      </c>
      <c r="D75" s="1242"/>
      <c r="E75" s="1236"/>
      <c r="F75" s="1243"/>
      <c r="G75" s="1244"/>
      <c r="H75" s="1239"/>
      <c r="I75" s="1210"/>
    </row>
    <row r="76" spans="1:9" ht="37.5">
      <c r="A76" s="1259">
        <v>9</v>
      </c>
      <c r="B76" s="1267" t="s">
        <v>397</v>
      </c>
      <c r="C76" s="1268">
        <v>300000</v>
      </c>
      <c r="D76" s="1242"/>
      <c r="E76" s="1236"/>
      <c r="F76" s="1243"/>
      <c r="G76" s="1244"/>
      <c r="H76" s="1239"/>
      <c r="I76" s="1210"/>
    </row>
    <row r="77" spans="1:9" ht="37.5">
      <c r="A77" s="1259">
        <v>10</v>
      </c>
      <c r="B77" s="1267" t="s">
        <v>398</v>
      </c>
      <c r="C77" s="1268">
        <v>150000</v>
      </c>
      <c r="D77" s="1242"/>
      <c r="E77" s="1236"/>
      <c r="F77" s="1243"/>
      <c r="G77" s="1244"/>
      <c r="H77" s="1239"/>
      <c r="I77" s="1210"/>
    </row>
    <row r="78" spans="1:9" ht="18.75">
      <c r="A78" s="1259">
        <v>11</v>
      </c>
      <c r="B78" s="1267" t="s">
        <v>399</v>
      </c>
      <c r="C78" s="1268">
        <v>2000000</v>
      </c>
      <c r="D78" s="1242"/>
      <c r="E78" s="1236"/>
      <c r="F78" s="1243"/>
      <c r="G78" s="1244"/>
      <c r="H78" s="1239"/>
      <c r="I78" s="1210"/>
    </row>
    <row r="79" spans="1:9" ht="18.75">
      <c r="A79" s="1259">
        <v>12</v>
      </c>
      <c r="B79" s="1267" t="s">
        <v>400</v>
      </c>
      <c r="C79" s="1268">
        <v>1500000</v>
      </c>
      <c r="D79" s="1242"/>
      <c r="E79" s="1236"/>
      <c r="F79" s="1243"/>
      <c r="G79" s="1244"/>
      <c r="H79" s="1239"/>
      <c r="I79" s="1210"/>
    </row>
    <row r="80" spans="1:9" ht="18.75">
      <c r="A80" s="1259">
        <v>13</v>
      </c>
      <c r="B80" s="1267" t="s">
        <v>401</v>
      </c>
      <c r="C80" s="1268">
        <v>403400</v>
      </c>
      <c r="D80" s="1242"/>
      <c r="E80" s="1236"/>
      <c r="F80" s="1243"/>
      <c r="G80" s="1244"/>
      <c r="H80" s="1239"/>
      <c r="I80" s="1210"/>
    </row>
    <row r="81" spans="1:9" ht="21">
      <c r="A81" s="1251"/>
      <c r="B81" s="1252"/>
      <c r="C81" s="1269">
        <v>12493400</v>
      </c>
      <c r="D81" s="1242"/>
      <c r="E81" s="1236"/>
      <c r="F81" s="1243"/>
      <c r="G81" s="1244"/>
      <c r="H81" s="1239"/>
      <c r="I81" s="1210"/>
    </row>
    <row r="82" spans="1:9" ht="37.5">
      <c r="A82" s="1270">
        <v>2.8</v>
      </c>
      <c r="B82" s="1254" t="s">
        <v>1952</v>
      </c>
      <c r="C82" s="1255" t="s">
        <v>1</v>
      </c>
      <c r="D82" s="1242"/>
      <c r="E82" s="1236"/>
      <c r="F82" s="1243"/>
      <c r="G82" s="1244"/>
      <c r="H82" s="1239"/>
      <c r="I82" s="1210"/>
    </row>
    <row r="83" spans="1:9" ht="18.75">
      <c r="A83" s="1256">
        <v>1</v>
      </c>
      <c r="B83" s="1271" t="s">
        <v>402</v>
      </c>
      <c r="C83" s="1272">
        <v>33600</v>
      </c>
      <c r="D83" s="1242"/>
      <c r="E83" s="1236"/>
      <c r="F83" s="1243"/>
      <c r="G83" s="1244"/>
      <c r="H83" s="1239"/>
      <c r="I83" s="1210"/>
    </row>
    <row r="84" spans="1:9" ht="18.75">
      <c r="A84" s="1259">
        <v>2</v>
      </c>
      <c r="B84" s="1273" t="s">
        <v>403</v>
      </c>
      <c r="C84" s="1274">
        <v>20000</v>
      </c>
      <c r="D84" s="1242"/>
      <c r="E84" s="1236"/>
      <c r="F84" s="1243"/>
      <c r="G84" s="1244"/>
      <c r="H84" s="1239"/>
      <c r="I84" s="1210"/>
    </row>
    <row r="85" spans="1:9" ht="18.75">
      <c r="A85" s="1259">
        <v>3</v>
      </c>
      <c r="B85" s="1275" t="s">
        <v>404</v>
      </c>
      <c r="C85" s="1274">
        <v>20000</v>
      </c>
      <c r="D85" s="1242"/>
      <c r="E85" s="1236"/>
      <c r="F85" s="1243"/>
      <c r="G85" s="1244"/>
      <c r="H85" s="1239"/>
      <c r="I85" s="1210"/>
    </row>
    <row r="86" spans="1:9" ht="18.75">
      <c r="A86" s="1259">
        <v>4</v>
      </c>
      <c r="B86" s="1276" t="s">
        <v>405</v>
      </c>
      <c r="C86" s="1274">
        <v>40000</v>
      </c>
      <c r="D86" s="1242"/>
      <c r="E86" s="1236"/>
      <c r="F86" s="1243"/>
      <c r="G86" s="1244"/>
      <c r="H86" s="1239"/>
      <c r="I86" s="1210"/>
    </row>
    <row r="87" spans="1:9" ht="18.75">
      <c r="A87" s="1259">
        <v>5</v>
      </c>
      <c r="B87" s="1276" t="s">
        <v>406</v>
      </c>
      <c r="C87" s="1274">
        <v>200000</v>
      </c>
      <c r="D87" s="1242"/>
      <c r="E87" s="1236"/>
      <c r="F87" s="1243"/>
      <c r="G87" s="1244"/>
      <c r="H87" s="1239"/>
      <c r="I87" s="1210"/>
    </row>
    <row r="88" spans="1:9" ht="18.75">
      <c r="A88" s="1259">
        <v>6</v>
      </c>
      <c r="B88" s="1275" t="s">
        <v>380</v>
      </c>
      <c r="C88" s="1274">
        <v>9600</v>
      </c>
      <c r="D88" s="1242"/>
      <c r="E88" s="1236"/>
      <c r="F88" s="1243"/>
      <c r="G88" s="1244"/>
      <c r="H88" s="1239"/>
      <c r="I88" s="1210"/>
    </row>
    <row r="89" spans="1:9" ht="18.75">
      <c r="A89" s="1259">
        <v>7</v>
      </c>
      <c r="B89" s="1275" t="s">
        <v>407</v>
      </c>
      <c r="C89" s="1274">
        <v>8000</v>
      </c>
      <c r="D89" s="1242"/>
      <c r="E89" s="1236"/>
      <c r="F89" s="1243"/>
      <c r="G89" s="1244"/>
      <c r="H89" s="1239"/>
      <c r="I89" s="1210"/>
    </row>
    <row r="90" spans="1:9" ht="18.75">
      <c r="A90" s="1259">
        <v>8</v>
      </c>
      <c r="B90" s="1273" t="s">
        <v>381</v>
      </c>
      <c r="C90" s="1274">
        <v>10000</v>
      </c>
      <c r="D90" s="1242"/>
      <c r="E90" s="1236"/>
      <c r="F90" s="1243"/>
      <c r="G90" s="1244"/>
      <c r="H90" s="1239"/>
      <c r="I90" s="1210"/>
    </row>
    <row r="91" spans="1:9" ht="21">
      <c r="A91" s="1251"/>
      <c r="B91" s="1277"/>
      <c r="C91" s="1269">
        <v>341200</v>
      </c>
      <c r="D91" s="1242"/>
      <c r="E91" s="1236"/>
      <c r="F91" s="1243"/>
      <c r="G91" s="1244"/>
      <c r="H91" s="1239"/>
      <c r="I91" s="1210"/>
    </row>
    <row r="92" spans="1:9" ht="21">
      <c r="A92" s="1262"/>
      <c r="B92" s="1278"/>
      <c r="C92" s="1279"/>
      <c r="D92" s="1242"/>
      <c r="E92" s="1236"/>
      <c r="F92" s="1243"/>
      <c r="G92" s="1244"/>
      <c r="H92" s="1239"/>
      <c r="I92" s="1210"/>
    </row>
    <row r="93" spans="1:9" ht="61.5" customHeight="1">
      <c r="A93" s="1270">
        <v>2.9</v>
      </c>
      <c r="B93" s="1254" t="s">
        <v>1953</v>
      </c>
      <c r="C93" s="1255" t="s">
        <v>1</v>
      </c>
      <c r="D93" s="1242"/>
      <c r="E93" s="1236"/>
      <c r="F93" s="1243"/>
      <c r="G93" s="1244"/>
      <c r="H93" s="1239"/>
      <c r="I93" s="1210"/>
    </row>
    <row r="94" spans="1:9" ht="18.75">
      <c r="A94" s="1248">
        <v>1</v>
      </c>
      <c r="B94" s="1280" t="s">
        <v>408</v>
      </c>
      <c r="C94" s="1281">
        <v>33600</v>
      </c>
      <c r="D94" s="1242"/>
      <c r="E94" s="1236"/>
      <c r="F94" s="1243"/>
      <c r="G94" s="1244"/>
      <c r="H94" s="1239"/>
      <c r="I94" s="1210"/>
    </row>
    <row r="95" spans="1:9" ht="18.75">
      <c r="A95" s="1259">
        <v>2</v>
      </c>
      <c r="B95" s="1282" t="s">
        <v>409</v>
      </c>
      <c r="C95" s="1274">
        <v>20000</v>
      </c>
      <c r="D95" s="1242"/>
      <c r="E95" s="1236"/>
      <c r="F95" s="1243"/>
      <c r="G95" s="1244"/>
      <c r="H95" s="1239"/>
      <c r="I95" s="1210"/>
    </row>
    <row r="96" spans="1:9" ht="18.75">
      <c r="A96" s="1259">
        <v>3</v>
      </c>
      <c r="B96" s="1283" t="s">
        <v>410</v>
      </c>
      <c r="C96" s="1274">
        <v>20000</v>
      </c>
      <c r="D96" s="1242"/>
      <c r="E96" s="1236"/>
      <c r="F96" s="1243"/>
      <c r="G96" s="1244"/>
      <c r="H96" s="1239"/>
      <c r="I96" s="1210"/>
    </row>
    <row r="97" spans="1:9" ht="18.75">
      <c r="A97" s="1259">
        <v>4</v>
      </c>
      <c r="B97" s="1284" t="s">
        <v>411</v>
      </c>
      <c r="C97" s="1274">
        <v>20000</v>
      </c>
      <c r="D97" s="1242"/>
      <c r="E97" s="1236"/>
      <c r="F97" s="1243"/>
      <c r="G97" s="1244"/>
      <c r="H97" s="1239"/>
      <c r="I97" s="1210"/>
    </row>
    <row r="98" spans="1:9" ht="18.75">
      <c r="A98" s="1259">
        <v>5</v>
      </c>
      <c r="B98" s="1284" t="s">
        <v>412</v>
      </c>
      <c r="C98" s="1274">
        <v>100000</v>
      </c>
      <c r="D98" s="1242"/>
      <c r="E98" s="1236"/>
      <c r="F98" s="1243"/>
      <c r="G98" s="1244"/>
      <c r="H98" s="1239"/>
      <c r="I98" s="1210"/>
    </row>
    <row r="99" spans="1:9" ht="18.75">
      <c r="A99" s="1259">
        <v>6</v>
      </c>
      <c r="B99" s="1283" t="s">
        <v>367</v>
      </c>
      <c r="C99" s="1274">
        <v>19200</v>
      </c>
      <c r="D99" s="1242"/>
      <c r="E99" s="1236"/>
      <c r="F99" s="1243"/>
      <c r="G99" s="1244"/>
      <c r="H99" s="1239"/>
      <c r="I99" s="1210"/>
    </row>
    <row r="100" spans="1:9" ht="18.75">
      <c r="A100" s="1259">
        <v>7</v>
      </c>
      <c r="B100" s="1283" t="s">
        <v>407</v>
      </c>
      <c r="C100" s="1274">
        <v>3200</v>
      </c>
      <c r="D100" s="1242"/>
      <c r="E100" s="1236"/>
      <c r="F100" s="1243"/>
      <c r="G100" s="1244"/>
      <c r="H100" s="1239"/>
      <c r="I100" s="1210"/>
    </row>
    <row r="101" spans="1:9" ht="18.75">
      <c r="A101" s="1259">
        <v>8</v>
      </c>
      <c r="B101" s="1273" t="s">
        <v>413</v>
      </c>
      <c r="C101" s="1274">
        <v>20000</v>
      </c>
      <c r="D101" s="1242"/>
      <c r="E101" s="1236"/>
      <c r="F101" s="1243"/>
      <c r="G101" s="1244"/>
      <c r="H101" s="1239"/>
      <c r="I101" s="1210"/>
    </row>
    <row r="102" spans="1:9" ht="21">
      <c r="A102" s="1251"/>
      <c r="B102" s="1252"/>
      <c r="C102" s="1269">
        <v>236000</v>
      </c>
      <c r="D102" s="1242"/>
      <c r="E102" s="1236"/>
      <c r="F102" s="1243"/>
      <c r="G102" s="1244"/>
      <c r="H102" s="1239"/>
      <c r="I102" s="1210"/>
    </row>
    <row r="103" spans="1:9" ht="56.25">
      <c r="A103" s="1285">
        <v>2.1</v>
      </c>
      <c r="B103" s="1286" t="s">
        <v>1954</v>
      </c>
      <c r="C103" s="1255" t="s">
        <v>1</v>
      </c>
      <c r="D103" s="1242"/>
      <c r="E103" s="1236"/>
      <c r="F103" s="1243"/>
      <c r="G103" s="1244"/>
      <c r="H103" s="1239"/>
      <c r="I103" s="1210"/>
    </row>
    <row r="104" spans="1:9" ht="18.75">
      <c r="A104" s="1248">
        <v>1</v>
      </c>
      <c r="B104" s="1280" t="s">
        <v>414</v>
      </c>
      <c r="C104" s="1281">
        <v>336000</v>
      </c>
      <c r="D104" s="1242"/>
      <c r="E104" s="1236"/>
      <c r="F104" s="1243"/>
      <c r="G104" s="1244"/>
      <c r="H104" s="1239"/>
      <c r="I104" s="1210"/>
    </row>
    <row r="105" spans="1:9" ht="18.75">
      <c r="A105" s="1259">
        <v>2</v>
      </c>
      <c r="B105" s="1282" t="s">
        <v>415</v>
      </c>
      <c r="C105" s="1274">
        <v>20000</v>
      </c>
      <c r="D105" s="1242"/>
      <c r="E105" s="1236"/>
      <c r="F105" s="1243"/>
      <c r="G105" s="1244"/>
      <c r="H105" s="1239"/>
      <c r="I105" s="1210"/>
    </row>
    <row r="106" spans="1:9" ht="18.75">
      <c r="A106" s="1259">
        <v>3</v>
      </c>
      <c r="B106" s="1283" t="s">
        <v>410</v>
      </c>
      <c r="C106" s="1274">
        <v>20000</v>
      </c>
      <c r="D106" s="1242"/>
      <c r="E106" s="1236"/>
      <c r="F106" s="1243"/>
      <c r="G106" s="1244"/>
      <c r="H106" s="1239"/>
      <c r="I106" s="1210"/>
    </row>
    <row r="107" spans="1:9" ht="18.75">
      <c r="A107" s="1259">
        <v>4</v>
      </c>
      <c r="B107" s="1284" t="s">
        <v>416</v>
      </c>
      <c r="C107" s="1274">
        <v>10000</v>
      </c>
      <c r="D107" s="1242"/>
      <c r="E107" s="1236"/>
      <c r="F107" s="1243"/>
      <c r="G107" s="1244"/>
      <c r="H107" s="1239"/>
      <c r="I107" s="1210"/>
    </row>
    <row r="108" spans="1:9" ht="18.75">
      <c r="A108" s="1259">
        <v>5</v>
      </c>
      <c r="B108" s="1284" t="s">
        <v>412</v>
      </c>
      <c r="C108" s="1274">
        <v>10000</v>
      </c>
      <c r="D108" s="1242"/>
      <c r="E108" s="1236"/>
      <c r="F108" s="1243"/>
      <c r="G108" s="1244"/>
      <c r="H108" s="1239"/>
      <c r="I108" s="1210"/>
    </row>
    <row r="109" spans="1:9" ht="18.75">
      <c r="A109" s="1259">
        <v>6</v>
      </c>
      <c r="B109" s="1283" t="s">
        <v>417</v>
      </c>
      <c r="C109" s="1274">
        <v>19200</v>
      </c>
      <c r="D109" s="1242"/>
      <c r="E109" s="1236"/>
      <c r="F109" s="1243"/>
      <c r="G109" s="1244"/>
      <c r="H109" s="1239"/>
      <c r="I109" s="1210"/>
    </row>
    <row r="110" spans="1:9" ht="18.75">
      <c r="A110" s="1259">
        <v>7</v>
      </c>
      <c r="B110" s="1283" t="s">
        <v>407</v>
      </c>
      <c r="C110" s="1274">
        <v>32000</v>
      </c>
      <c r="D110" s="1242"/>
      <c r="E110" s="1236"/>
      <c r="F110" s="1243"/>
      <c r="G110" s="1244"/>
      <c r="H110" s="1239"/>
      <c r="I110" s="1210"/>
    </row>
    <row r="111" spans="1:9" ht="18.75">
      <c r="A111" s="1259">
        <v>8</v>
      </c>
      <c r="B111" s="1273" t="s">
        <v>413</v>
      </c>
      <c r="C111" s="1274">
        <v>20000</v>
      </c>
      <c r="D111" s="1242"/>
      <c r="E111" s="1236"/>
      <c r="F111" s="1243"/>
      <c r="G111" s="1244"/>
      <c r="H111" s="1239"/>
      <c r="I111" s="1210"/>
    </row>
    <row r="112" spans="1:9" ht="21">
      <c r="A112" s="1259"/>
      <c r="B112" s="1287"/>
      <c r="C112" s="1288">
        <v>467200</v>
      </c>
      <c r="D112" s="1242"/>
      <c r="E112" s="1236"/>
      <c r="F112" s="1243"/>
      <c r="G112" s="1244"/>
      <c r="H112" s="1239"/>
      <c r="I112" s="1210"/>
    </row>
    <row r="113" spans="1:9" ht="37.5">
      <c r="A113" s="1290">
        <v>2.11</v>
      </c>
      <c r="B113" s="1291" t="s">
        <v>418</v>
      </c>
      <c r="C113" s="1292" t="s">
        <v>1</v>
      </c>
      <c r="D113" s="1242"/>
      <c r="E113" s="1236"/>
      <c r="F113" s="1243"/>
      <c r="G113" s="1244"/>
      <c r="H113" s="1239"/>
      <c r="I113" s="1210"/>
    </row>
    <row r="114" spans="1:9" ht="18.75">
      <c r="A114" s="1259">
        <v>1</v>
      </c>
      <c r="B114" s="1287" t="s">
        <v>419</v>
      </c>
      <c r="C114" s="1274">
        <v>80000</v>
      </c>
      <c r="D114" s="1242"/>
      <c r="E114" s="1236"/>
      <c r="F114" s="1243"/>
      <c r="G114" s="1244"/>
      <c r="H114" s="1239"/>
      <c r="I114" s="1210"/>
    </row>
    <row r="115" spans="1:9" ht="18.75">
      <c r="A115" s="1259">
        <v>2</v>
      </c>
      <c r="B115" s="1287" t="s">
        <v>420</v>
      </c>
      <c r="C115" s="1274">
        <v>80000</v>
      </c>
      <c r="D115" s="1242"/>
      <c r="E115" s="1236"/>
      <c r="F115" s="1243"/>
      <c r="G115" s="1244"/>
      <c r="H115" s="1239"/>
      <c r="I115" s="1210"/>
    </row>
    <row r="116" spans="1:9" ht="18.75">
      <c r="A116" s="1259">
        <v>3</v>
      </c>
      <c r="B116" s="1293" t="s">
        <v>421</v>
      </c>
      <c r="C116" s="1274">
        <v>80000</v>
      </c>
      <c r="D116" s="1242"/>
      <c r="E116" s="1236"/>
      <c r="F116" s="1243"/>
      <c r="G116" s="1244"/>
      <c r="H116" s="1239"/>
      <c r="I116" s="1210"/>
    </row>
    <row r="117" spans="1:9" ht="18.75">
      <c r="A117" s="1259">
        <v>4</v>
      </c>
      <c r="B117" s="1293" t="s">
        <v>422</v>
      </c>
      <c r="C117" s="1274">
        <v>80000</v>
      </c>
      <c r="D117" s="1242"/>
      <c r="E117" s="1236"/>
      <c r="F117" s="1243"/>
      <c r="G117" s="1244"/>
      <c r="H117" s="1239"/>
      <c r="I117" s="1210"/>
    </row>
    <row r="118" spans="1:9" ht="18.75">
      <c r="A118" s="1259">
        <v>5</v>
      </c>
      <c r="B118" s="1287" t="s">
        <v>423</v>
      </c>
      <c r="C118" s="1274">
        <v>80000</v>
      </c>
      <c r="D118" s="1242"/>
      <c r="E118" s="1236"/>
      <c r="F118" s="1243"/>
      <c r="G118" s="1244"/>
      <c r="H118" s="1239"/>
      <c r="I118" s="1210"/>
    </row>
    <row r="119" spans="1:9" ht="18.75">
      <c r="A119" s="1259">
        <v>6</v>
      </c>
      <c r="B119" s="1293" t="s">
        <v>424</v>
      </c>
      <c r="C119" s="1274">
        <v>80000</v>
      </c>
      <c r="D119" s="1242"/>
      <c r="E119" s="1236"/>
      <c r="F119" s="1243"/>
      <c r="G119" s="1244"/>
      <c r="H119" s="1239"/>
      <c r="I119" s="1210"/>
    </row>
    <row r="120" spans="1:9" ht="18.75">
      <c r="A120" s="1259">
        <v>7</v>
      </c>
      <c r="B120" s="1287" t="s">
        <v>425</v>
      </c>
      <c r="C120" s="1274">
        <v>80000</v>
      </c>
      <c r="D120" s="1242"/>
      <c r="E120" s="1236"/>
      <c r="F120" s="1243"/>
      <c r="G120" s="1244"/>
      <c r="H120" s="1239"/>
      <c r="I120" s="1210"/>
    </row>
    <row r="121" spans="1:9" ht="21">
      <c r="A121" s="1251"/>
      <c r="B121" s="1277"/>
      <c r="C121" s="1269">
        <v>560000</v>
      </c>
      <c r="D121" s="1242"/>
      <c r="E121" s="1236"/>
      <c r="F121" s="1243"/>
      <c r="G121" s="1244"/>
      <c r="H121" s="1239"/>
      <c r="I121" s="1210"/>
    </row>
    <row r="122" spans="1:9" ht="18.75">
      <c r="A122" s="1294">
        <v>2.12</v>
      </c>
      <c r="B122" s="1295" t="s">
        <v>1955</v>
      </c>
      <c r="C122" s="1189" t="s">
        <v>1</v>
      </c>
      <c r="D122" s="1242"/>
      <c r="E122" s="1236"/>
      <c r="F122" s="1243"/>
      <c r="G122" s="1244"/>
      <c r="H122" s="1239"/>
      <c r="I122" s="1210"/>
    </row>
    <row r="123" spans="1:9" ht="38.25" customHeight="1">
      <c r="A123" s="1248">
        <v>1</v>
      </c>
      <c r="B123" s="1249" t="s">
        <v>1806</v>
      </c>
      <c r="C123" s="1296">
        <v>100000</v>
      </c>
      <c r="D123" s="1242"/>
      <c r="E123" s="1236"/>
      <c r="F123" s="1243"/>
      <c r="G123" s="1244"/>
      <c r="H123" s="1239"/>
      <c r="I123" s="1210"/>
    </row>
    <row r="124" spans="1:9" ht="21">
      <c r="A124" s="1259"/>
      <c r="B124" s="1293"/>
      <c r="C124" s="1288">
        <v>100000</v>
      </c>
      <c r="D124" s="1242"/>
      <c r="E124" s="1236"/>
      <c r="F124" s="1243"/>
      <c r="G124" s="1244"/>
      <c r="H124" s="1239"/>
      <c r="I124" s="1210"/>
    </row>
    <row r="125" spans="1:9" ht="18.75">
      <c r="A125" s="1251"/>
      <c r="B125" s="1277"/>
      <c r="C125" s="1289"/>
      <c r="D125" s="1242"/>
      <c r="E125" s="1236"/>
      <c r="F125" s="1243"/>
      <c r="G125" s="1244"/>
      <c r="H125" s="1239"/>
      <c r="I125" s="1210"/>
    </row>
    <row r="126" spans="1:9" ht="56.25">
      <c r="A126" s="1294">
        <v>2.13</v>
      </c>
      <c r="B126" s="1297" t="s">
        <v>1956</v>
      </c>
      <c r="C126" s="1189" t="s">
        <v>1</v>
      </c>
      <c r="D126" s="1242"/>
      <c r="E126" s="1236"/>
      <c r="F126" s="1243"/>
      <c r="G126" s="1244"/>
      <c r="H126" s="1239"/>
      <c r="I126" s="1210"/>
    </row>
    <row r="127" spans="1:9" ht="18.75">
      <c r="A127" s="1259">
        <v>1</v>
      </c>
      <c r="B127" s="1293" t="s">
        <v>16</v>
      </c>
      <c r="C127" s="1298">
        <v>200000</v>
      </c>
      <c r="D127" s="1242"/>
      <c r="E127" s="1236"/>
      <c r="F127" s="1243"/>
      <c r="G127" s="1244"/>
      <c r="H127" s="1239"/>
      <c r="I127" s="1210"/>
    </row>
    <row r="128" spans="1:9" ht="18.75">
      <c r="A128" s="1256">
        <v>2</v>
      </c>
      <c r="B128" s="1299" t="s">
        <v>17</v>
      </c>
      <c r="C128" s="1300">
        <v>30000</v>
      </c>
      <c r="D128" s="1242"/>
      <c r="E128" s="1236"/>
      <c r="F128" s="1243"/>
      <c r="G128" s="1244"/>
      <c r="H128" s="1239"/>
      <c r="I128" s="1210"/>
    </row>
    <row r="129" spans="1:9" ht="18.75">
      <c r="A129" s="1259">
        <v>3</v>
      </c>
      <c r="B129" s="1283" t="s">
        <v>426</v>
      </c>
      <c r="C129" s="1298">
        <v>7200</v>
      </c>
      <c r="D129" s="1242"/>
      <c r="E129" s="1236"/>
      <c r="F129" s="1243"/>
      <c r="G129" s="1244"/>
      <c r="H129" s="1239"/>
      <c r="I129" s="1210"/>
    </row>
    <row r="130" spans="1:9" ht="18.75">
      <c r="A130" s="1259">
        <v>4</v>
      </c>
      <c r="B130" s="1273" t="s">
        <v>427</v>
      </c>
      <c r="C130" s="1298">
        <v>10000</v>
      </c>
      <c r="D130" s="1242"/>
      <c r="E130" s="1236"/>
      <c r="F130" s="1243"/>
      <c r="G130" s="1244"/>
      <c r="H130" s="1239"/>
      <c r="I130" s="1210"/>
    </row>
    <row r="131" spans="1:9" ht="18.75">
      <c r="A131" s="1259">
        <v>5</v>
      </c>
      <c r="B131" s="1293" t="s">
        <v>428</v>
      </c>
      <c r="C131" s="1298">
        <v>200000</v>
      </c>
      <c r="D131" s="1242"/>
      <c r="E131" s="1236"/>
      <c r="F131" s="1243"/>
      <c r="G131" s="1244"/>
      <c r="H131" s="1239"/>
      <c r="I131" s="1210"/>
    </row>
    <row r="132" spans="1:9" ht="18.75">
      <c r="A132" s="1259">
        <v>6</v>
      </c>
      <c r="B132" s="1293" t="s">
        <v>429</v>
      </c>
      <c r="C132" s="1298">
        <v>20000</v>
      </c>
      <c r="D132" s="1242"/>
      <c r="E132" s="1236"/>
      <c r="F132" s="1243"/>
      <c r="G132" s="1244"/>
      <c r="H132" s="1239"/>
      <c r="I132" s="1210"/>
    </row>
    <row r="133" spans="1:9" ht="21">
      <c r="A133" s="1259"/>
      <c r="B133" s="1293"/>
      <c r="C133" s="1288">
        <v>467200</v>
      </c>
      <c r="D133" s="1242"/>
      <c r="E133" s="1236"/>
      <c r="F133" s="1243"/>
      <c r="G133" s="1244"/>
      <c r="H133" s="1239"/>
      <c r="I133" s="1210"/>
    </row>
    <row r="134" spans="1:9" ht="18.75">
      <c r="A134" s="1251"/>
      <c r="B134" s="1277"/>
      <c r="C134" s="1289"/>
      <c r="D134" s="1242"/>
      <c r="E134" s="1236"/>
      <c r="F134" s="1243"/>
      <c r="G134" s="1244"/>
      <c r="H134" s="1239"/>
      <c r="I134" s="1210"/>
    </row>
    <row r="135" spans="1:9" ht="18.75">
      <c r="A135" s="1285">
        <v>2.14</v>
      </c>
      <c r="B135" s="1301" t="s">
        <v>18</v>
      </c>
      <c r="C135" s="1255" t="s">
        <v>1</v>
      </c>
      <c r="D135" s="1242"/>
      <c r="E135" s="1236"/>
      <c r="F135" s="1243"/>
      <c r="G135" s="1244"/>
      <c r="H135" s="1239"/>
      <c r="I135" s="1210"/>
    </row>
    <row r="136" spans="1:9" ht="18.75">
      <c r="A136" s="1256"/>
      <c r="B136" s="1299" t="s">
        <v>19</v>
      </c>
      <c r="C136" s="1300">
        <v>5000</v>
      </c>
      <c r="D136" s="1242"/>
      <c r="E136" s="1236"/>
      <c r="F136" s="1243"/>
      <c r="G136" s="1244"/>
      <c r="H136" s="1239"/>
      <c r="I136" s="1210"/>
    </row>
    <row r="137" spans="1:9" ht="18.75">
      <c r="A137" s="1256"/>
      <c r="B137" s="1299" t="s">
        <v>20</v>
      </c>
      <c r="C137" s="1300">
        <v>8000</v>
      </c>
      <c r="D137" s="1242"/>
      <c r="E137" s="1236"/>
      <c r="F137" s="1243"/>
      <c r="G137" s="1244"/>
      <c r="H137" s="1239"/>
      <c r="I137" s="1210"/>
    </row>
    <row r="138" spans="1:9" ht="18.75">
      <c r="A138" s="1259"/>
      <c r="B138" s="1293" t="s">
        <v>21</v>
      </c>
      <c r="C138" s="1298">
        <v>8000</v>
      </c>
      <c r="D138" s="1242"/>
      <c r="E138" s="1236"/>
      <c r="F138" s="1243"/>
      <c r="G138" s="1244"/>
      <c r="H138" s="1239"/>
      <c r="I138" s="1210"/>
    </row>
    <row r="139" spans="1:9" ht="18.75">
      <c r="A139" s="1259"/>
      <c r="B139" s="1287" t="s">
        <v>22</v>
      </c>
      <c r="C139" s="1298">
        <v>8000</v>
      </c>
      <c r="D139" s="1302"/>
      <c r="E139" s="1302"/>
      <c r="F139" s="1302"/>
      <c r="G139" s="1302"/>
      <c r="H139" s="1302"/>
      <c r="I139" s="1303"/>
    </row>
    <row r="140" spans="1:9" ht="18.75">
      <c r="A140" s="1259"/>
      <c r="B140" s="1304" t="s">
        <v>23</v>
      </c>
      <c r="C140" s="1305"/>
      <c r="D140" s="1302"/>
      <c r="E140" s="1302"/>
      <c r="F140" s="1302"/>
      <c r="G140" s="1302"/>
      <c r="H140" s="1302"/>
      <c r="I140" s="1303"/>
    </row>
    <row r="141" spans="1:9" ht="18.75">
      <c r="A141" s="1306"/>
      <c r="B141" s="1293" t="s">
        <v>24</v>
      </c>
      <c r="C141" s="1298">
        <v>8000</v>
      </c>
      <c r="D141" s="1302"/>
      <c r="E141" s="1302"/>
      <c r="F141" s="1302"/>
      <c r="G141" s="1302"/>
      <c r="H141" s="1302"/>
      <c r="I141" s="1303"/>
    </row>
    <row r="142" spans="1:9" ht="18.75">
      <c r="A142" s="1259"/>
      <c r="B142" s="1293" t="s">
        <v>25</v>
      </c>
      <c r="C142" s="1298">
        <v>4000</v>
      </c>
      <c r="D142" s="1302"/>
      <c r="E142" s="1302"/>
      <c r="F142" s="1302"/>
      <c r="G142" s="1302"/>
      <c r="H142" s="1302"/>
      <c r="I142" s="1303"/>
    </row>
    <row r="143" spans="1:9" ht="18.75">
      <c r="A143" s="1307"/>
      <c r="B143" s="1308" t="s">
        <v>26</v>
      </c>
      <c r="C143" s="1309">
        <v>4000</v>
      </c>
      <c r="D143" s="1302"/>
      <c r="E143" s="1302"/>
      <c r="F143" s="1302"/>
      <c r="G143" s="1302"/>
      <c r="H143" s="1302"/>
      <c r="I143" s="1303"/>
    </row>
    <row r="144" spans="1:9" ht="21">
      <c r="A144" s="1259"/>
      <c r="B144" s="1287"/>
      <c r="C144" s="1288">
        <v>45000</v>
      </c>
      <c r="D144" s="1302"/>
      <c r="E144" s="1302"/>
      <c r="F144" s="1302"/>
      <c r="G144" s="1302"/>
      <c r="H144" s="1302"/>
      <c r="I144" s="1303"/>
    </row>
    <row r="145" spans="1:9" ht="18.75">
      <c r="A145" s="1251"/>
      <c r="B145" s="1252"/>
      <c r="C145" s="1289"/>
      <c r="D145" s="1302"/>
      <c r="E145" s="1302"/>
      <c r="F145" s="1302"/>
      <c r="G145" s="1302"/>
      <c r="H145" s="1302"/>
      <c r="I145" s="1303"/>
    </row>
    <row r="146" spans="1:9" ht="18.75">
      <c r="A146" s="1439" t="s">
        <v>4</v>
      </c>
      <c r="B146" s="1440"/>
      <c r="C146" s="1310">
        <v>20000000</v>
      </c>
    </row>
    <row r="147" spans="1:9" s="94" customFormat="1" ht="23.25" customHeight="1">
      <c r="A147" s="141"/>
      <c r="B147" s="142" t="str">
        <f>BAHTTEXT(C146)</f>
        <v>ยี่สิบล้านบาทถ้วน</v>
      </c>
      <c r="C147" s="143"/>
    </row>
    <row r="148" spans="1:9" s="94" customFormat="1" ht="23.25" customHeight="1" thickBot="1">
      <c r="A148" s="144"/>
      <c r="B148" s="145"/>
      <c r="C148" s="146"/>
    </row>
  </sheetData>
  <mergeCells count="8">
    <mergeCell ref="B34:B35"/>
    <mergeCell ref="B45:B47"/>
    <mergeCell ref="A146:B146"/>
    <mergeCell ref="A1:C1"/>
    <mergeCell ref="A4:C4"/>
    <mergeCell ref="A16:B16"/>
    <mergeCell ref="B17:B18"/>
    <mergeCell ref="B24:B25"/>
  </mergeCells>
  <pageMargins left="0.45" right="0.45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512"/>
  <sheetViews>
    <sheetView workbookViewId="0">
      <selection sqref="A1:C1"/>
    </sheetView>
  </sheetViews>
  <sheetFormatPr defaultColWidth="9" defaultRowHeight="18.75"/>
  <cols>
    <col min="1" max="1" width="6.875" style="443" customWidth="1"/>
    <col min="2" max="2" width="55.625" style="444" customWidth="1"/>
    <col min="3" max="3" width="19.375" style="445" customWidth="1"/>
    <col min="4" max="7" width="9" style="1338"/>
    <col min="8" max="16384" width="9" style="274"/>
  </cols>
  <sheetData>
    <row r="1" spans="1:7" ht="21">
      <c r="A1" s="1448" t="s">
        <v>1006</v>
      </c>
      <c r="B1" s="1449"/>
      <c r="C1" s="1450"/>
    </row>
    <row r="2" spans="1:7" ht="18" customHeight="1">
      <c r="A2" s="499"/>
      <c r="B2" s="582" t="s">
        <v>0</v>
      </c>
      <c r="C2" s="583" t="s">
        <v>1</v>
      </c>
    </row>
    <row r="3" spans="1:7" s="278" customFormat="1" ht="75">
      <c r="A3" s="502"/>
      <c r="B3" s="584" t="s">
        <v>5</v>
      </c>
      <c r="C3" s="503" t="s">
        <v>2</v>
      </c>
      <c r="D3" s="1339"/>
      <c r="E3" s="1339"/>
      <c r="F3" s="1339"/>
      <c r="G3" s="1339"/>
    </row>
    <row r="4" spans="1:7" s="278" customFormat="1">
      <c r="A4" s="1451" t="s">
        <v>6</v>
      </c>
      <c r="B4" s="1452"/>
      <c r="C4" s="1453"/>
      <c r="D4" s="1339"/>
      <c r="E4" s="1339"/>
      <c r="F4" s="1339"/>
      <c r="G4" s="1339"/>
    </row>
    <row r="5" spans="1:7" s="278" customFormat="1" ht="18.75" customHeight="1">
      <c r="A5" s="279">
        <v>1</v>
      </c>
      <c r="B5" s="585" t="s">
        <v>3</v>
      </c>
      <c r="C5" s="281"/>
      <c r="D5" s="1339"/>
      <c r="E5" s="1339"/>
      <c r="F5" s="1339"/>
      <c r="G5" s="1339"/>
    </row>
    <row r="6" spans="1:7" s="278" customFormat="1" ht="26.25" customHeight="1">
      <c r="A6" s="282"/>
      <c r="B6" s="283"/>
      <c r="C6" s="284" t="s">
        <v>7</v>
      </c>
      <c r="D6" s="1339"/>
      <c r="E6" s="1339"/>
      <c r="F6" s="1339"/>
      <c r="G6" s="1339"/>
    </row>
    <row r="7" spans="1:7" s="278" customFormat="1" ht="37.5">
      <c r="A7" s="282">
        <v>1</v>
      </c>
      <c r="B7" s="285" t="s">
        <v>1874</v>
      </c>
      <c r="C7" s="286">
        <v>240000</v>
      </c>
      <c r="D7" s="1321">
        <v>1</v>
      </c>
      <c r="E7" s="1340" t="s">
        <v>1833</v>
      </c>
      <c r="F7" s="1321">
        <v>4</v>
      </c>
      <c r="G7" s="1341">
        <v>60000</v>
      </c>
    </row>
    <row r="8" spans="1:7" s="278" customFormat="1" ht="37.5">
      <c r="A8" s="282">
        <v>2</v>
      </c>
      <c r="B8" s="285" t="s">
        <v>1875</v>
      </c>
      <c r="C8" s="286">
        <v>216000</v>
      </c>
      <c r="D8" s="1322">
        <v>1</v>
      </c>
      <c r="E8" s="1340" t="s">
        <v>1834</v>
      </c>
      <c r="F8" s="1321">
        <v>6</v>
      </c>
      <c r="G8" s="1341">
        <v>36000</v>
      </c>
    </row>
    <row r="9" spans="1:7" s="278" customFormat="1" ht="37.5">
      <c r="A9" s="282">
        <v>3</v>
      </c>
      <c r="B9" s="285" t="s">
        <v>1876</v>
      </c>
      <c r="C9" s="286">
        <v>216000</v>
      </c>
      <c r="D9" s="1322">
        <v>1</v>
      </c>
      <c r="E9" s="1340" t="s">
        <v>1834</v>
      </c>
      <c r="F9" s="1321">
        <v>6</v>
      </c>
      <c r="G9" s="1341">
        <v>36000</v>
      </c>
    </row>
    <row r="10" spans="1:7" s="278" customFormat="1" ht="37.5">
      <c r="A10" s="282">
        <v>4</v>
      </c>
      <c r="B10" s="285" t="s">
        <v>1877</v>
      </c>
      <c r="C10" s="286">
        <v>216000</v>
      </c>
      <c r="D10" s="1322">
        <v>1</v>
      </c>
      <c r="E10" s="1340" t="s">
        <v>1834</v>
      </c>
      <c r="F10" s="1321">
        <v>6</v>
      </c>
      <c r="G10" s="1341">
        <v>36000</v>
      </c>
    </row>
    <row r="11" spans="1:7" ht="37.5">
      <c r="A11" s="282">
        <v>5</v>
      </c>
      <c r="B11" s="285" t="s">
        <v>1957</v>
      </c>
      <c r="C11" s="286">
        <v>216000</v>
      </c>
      <c r="D11" s="1322">
        <v>1</v>
      </c>
      <c r="E11" s="1340" t="s">
        <v>1834</v>
      </c>
      <c r="F11" s="1321">
        <v>6</v>
      </c>
      <c r="G11" s="1341">
        <v>36000</v>
      </c>
    </row>
    <row r="12" spans="1:7" s="278" customFormat="1" ht="37.5">
      <c r="A12" s="282">
        <v>6</v>
      </c>
      <c r="B12" s="310" t="s">
        <v>1878</v>
      </c>
      <c r="C12" s="286">
        <v>216000</v>
      </c>
      <c r="D12" s="1322">
        <v>1</v>
      </c>
      <c r="E12" s="1340" t="s">
        <v>1834</v>
      </c>
      <c r="F12" s="1321">
        <v>6</v>
      </c>
      <c r="G12" s="1341">
        <v>36000</v>
      </c>
    </row>
    <row r="13" spans="1:7" s="278" customFormat="1" ht="37.5">
      <c r="A13" s="282">
        <v>7</v>
      </c>
      <c r="B13" s="285" t="s">
        <v>1879</v>
      </c>
      <c r="C13" s="286">
        <v>216000</v>
      </c>
      <c r="D13" s="1322">
        <v>1</v>
      </c>
      <c r="E13" s="1340" t="s">
        <v>1834</v>
      </c>
      <c r="F13" s="1321">
        <v>6</v>
      </c>
      <c r="G13" s="1341">
        <v>36000</v>
      </c>
    </row>
    <row r="14" spans="1:7" s="278" customFormat="1" ht="37.5">
      <c r="A14" s="282">
        <v>8</v>
      </c>
      <c r="B14" s="285" t="s">
        <v>1880</v>
      </c>
      <c r="C14" s="286">
        <v>120000</v>
      </c>
      <c r="D14" s="1322">
        <v>1</v>
      </c>
      <c r="E14" s="1340" t="s">
        <v>1835</v>
      </c>
      <c r="F14" s="1321">
        <v>4</v>
      </c>
      <c r="G14" s="1341">
        <v>30000</v>
      </c>
    </row>
    <row r="15" spans="1:7" ht="37.5">
      <c r="A15" s="282">
        <v>9</v>
      </c>
      <c r="B15" s="285" t="s">
        <v>1881</v>
      </c>
      <c r="C15" s="286">
        <v>120000</v>
      </c>
      <c r="D15" s="1322">
        <v>1</v>
      </c>
      <c r="E15" s="1340" t="s">
        <v>1835</v>
      </c>
      <c r="F15" s="1321">
        <v>4</v>
      </c>
      <c r="G15" s="1341">
        <v>30000</v>
      </c>
    </row>
    <row r="16" spans="1:7" s="278" customFormat="1" ht="37.5">
      <c r="A16" s="282">
        <v>10</v>
      </c>
      <c r="B16" s="285" t="s">
        <v>1882</v>
      </c>
      <c r="C16" s="286">
        <v>405000</v>
      </c>
      <c r="D16" s="1322">
        <v>3</v>
      </c>
      <c r="E16" s="1340" t="s">
        <v>1836</v>
      </c>
      <c r="F16" s="1321">
        <v>9</v>
      </c>
      <c r="G16" s="1342">
        <v>15000</v>
      </c>
    </row>
    <row r="17" spans="1:7" s="278" customFormat="1">
      <c r="A17" s="282">
        <v>13</v>
      </c>
      <c r="B17" s="304" t="s">
        <v>1883</v>
      </c>
      <c r="C17" s="286">
        <v>1350000</v>
      </c>
      <c r="D17" s="1324">
        <v>10</v>
      </c>
      <c r="E17" s="1340" t="s">
        <v>1837</v>
      </c>
      <c r="F17" s="1321">
        <v>9</v>
      </c>
      <c r="G17" s="1342">
        <v>15000</v>
      </c>
    </row>
    <row r="18" spans="1:7" s="278" customFormat="1" ht="37.5">
      <c r="A18" s="282">
        <v>14</v>
      </c>
      <c r="B18" s="285" t="s">
        <v>1884</v>
      </c>
      <c r="C18" s="286">
        <v>1350000</v>
      </c>
      <c r="D18" s="1322">
        <v>10</v>
      </c>
      <c r="E18" s="1340" t="s">
        <v>1838</v>
      </c>
      <c r="F18" s="1321">
        <v>9</v>
      </c>
      <c r="G18" s="1342">
        <v>15000</v>
      </c>
    </row>
    <row r="19" spans="1:7" s="278" customFormat="1" ht="21">
      <c r="A19" s="290"/>
      <c r="B19" s="291"/>
      <c r="C19" s="492">
        <f>SUM(C7:C18)</f>
        <v>4881000</v>
      </c>
      <c r="D19" s="1339"/>
      <c r="E19" s="1339"/>
      <c r="F19" s="1339"/>
      <c r="G19" s="1339"/>
    </row>
    <row r="20" spans="1:7" s="278" customFormat="1" ht="21">
      <c r="A20" s="586"/>
      <c r="B20" s="285"/>
      <c r="C20" s="511"/>
      <c r="D20" s="1339"/>
      <c r="E20" s="1339"/>
      <c r="F20" s="1339"/>
      <c r="G20" s="1339"/>
    </row>
    <row r="21" spans="1:7" s="278" customFormat="1">
      <c r="A21" s="1454" t="s">
        <v>10</v>
      </c>
      <c r="B21" s="1455"/>
      <c r="C21" s="587"/>
      <c r="D21" s="1339"/>
      <c r="E21" s="1339"/>
      <c r="F21" s="1339"/>
      <c r="G21" s="1339"/>
    </row>
    <row r="22" spans="1:7" s="278" customFormat="1">
      <c r="A22" s="294">
        <v>6.2</v>
      </c>
      <c r="B22" s="295" t="s">
        <v>1958</v>
      </c>
      <c r="C22" s="588"/>
      <c r="D22" s="1339"/>
      <c r="E22" s="1339"/>
      <c r="F22" s="1339"/>
      <c r="G22" s="1339"/>
    </row>
    <row r="23" spans="1:7" s="278" customFormat="1">
      <c r="A23" s="589"/>
      <c r="B23" s="415" t="s">
        <v>11</v>
      </c>
      <c r="C23" s="590" t="s">
        <v>1</v>
      </c>
      <c r="D23" s="1339"/>
      <c r="E23" s="1339"/>
      <c r="F23" s="1339"/>
      <c r="G23" s="1339"/>
    </row>
    <row r="24" spans="1:7" s="278" customFormat="1">
      <c r="A24" s="591">
        <v>1</v>
      </c>
      <c r="B24" s="592" t="s">
        <v>31</v>
      </c>
      <c r="C24" s="302">
        <v>160000</v>
      </c>
      <c r="D24" s="1339"/>
      <c r="E24" s="1339"/>
      <c r="F24" s="1339"/>
      <c r="G24" s="1339"/>
    </row>
    <row r="25" spans="1:7" s="278" customFormat="1">
      <c r="A25" s="303">
        <v>2</v>
      </c>
      <c r="B25" s="304" t="s">
        <v>32</v>
      </c>
      <c r="C25" s="302">
        <v>80000</v>
      </c>
      <c r="D25" s="1339"/>
      <c r="E25" s="1339"/>
      <c r="F25" s="1339"/>
      <c r="G25" s="1339"/>
    </row>
    <row r="26" spans="1:7" s="278" customFormat="1">
      <c r="A26" s="591">
        <v>3</v>
      </c>
      <c r="B26" s="285" t="s">
        <v>12</v>
      </c>
      <c r="C26" s="302">
        <v>80000</v>
      </c>
      <c r="D26" s="1339"/>
      <c r="E26" s="1339"/>
      <c r="F26" s="1339"/>
      <c r="G26" s="1339"/>
    </row>
    <row r="27" spans="1:7" s="278" customFormat="1">
      <c r="A27" s="303">
        <v>4</v>
      </c>
      <c r="B27" s="285" t="s">
        <v>13</v>
      </c>
      <c r="C27" s="302">
        <v>400000</v>
      </c>
      <c r="D27" s="1339"/>
      <c r="E27" s="1339"/>
      <c r="F27" s="1339"/>
      <c r="G27" s="1339"/>
    </row>
    <row r="28" spans="1:7" s="278" customFormat="1">
      <c r="A28" s="591">
        <v>5</v>
      </c>
      <c r="B28" s="304" t="s">
        <v>27</v>
      </c>
      <c r="C28" s="302">
        <v>38400</v>
      </c>
      <c r="D28" s="1339"/>
      <c r="E28" s="1339"/>
      <c r="F28" s="1339"/>
      <c r="G28" s="1339"/>
    </row>
    <row r="29" spans="1:7" s="278" customFormat="1">
      <c r="A29" s="303">
        <v>6</v>
      </c>
      <c r="B29" s="304" t="s">
        <v>430</v>
      </c>
      <c r="C29" s="302">
        <v>96000</v>
      </c>
      <c r="D29" s="1339"/>
      <c r="E29" s="1339"/>
      <c r="F29" s="1339"/>
      <c r="G29" s="1339"/>
    </row>
    <row r="30" spans="1:7" s="278" customFormat="1">
      <c r="A30" s="591">
        <v>7</v>
      </c>
      <c r="B30" s="304" t="s">
        <v>29</v>
      </c>
      <c r="C30" s="302">
        <v>150000</v>
      </c>
      <c r="D30" s="1339"/>
      <c r="E30" s="1339"/>
      <c r="F30" s="1339"/>
      <c r="G30" s="1339"/>
    </row>
    <row r="31" spans="1:7" s="278" customFormat="1">
      <c r="A31" s="303">
        <v>8</v>
      </c>
      <c r="B31" s="304" t="s">
        <v>28</v>
      </c>
      <c r="C31" s="302">
        <v>80000</v>
      </c>
      <c r="D31" s="1339"/>
      <c r="E31" s="1339"/>
      <c r="F31" s="1339"/>
      <c r="G31" s="1339"/>
    </row>
    <row r="32" spans="1:7" s="278" customFormat="1">
      <c r="A32" s="305"/>
      <c r="B32" s="306"/>
      <c r="C32" s="430">
        <f>SUM(C24:C31)</f>
        <v>1084400</v>
      </c>
      <c r="D32" s="1339"/>
      <c r="E32" s="1339"/>
      <c r="F32" s="1339"/>
      <c r="G32" s="1339"/>
    </row>
    <row r="33" spans="1:7" s="278" customFormat="1">
      <c r="A33" s="472"/>
      <c r="B33" s="317"/>
      <c r="C33" s="468"/>
      <c r="D33" s="1339"/>
      <c r="E33" s="1339"/>
      <c r="F33" s="1339"/>
      <c r="G33" s="1339"/>
    </row>
    <row r="34" spans="1:7" s="278" customFormat="1">
      <c r="A34" s="593">
        <v>6.3</v>
      </c>
      <c r="B34" s="386" t="s">
        <v>1959</v>
      </c>
      <c r="C34" s="387"/>
      <c r="D34" s="1339"/>
      <c r="E34" s="1339"/>
      <c r="F34" s="1339"/>
      <c r="G34" s="1339"/>
    </row>
    <row r="35" spans="1:7" s="314" customFormat="1" ht="21.75" customHeight="1">
      <c r="A35" s="594" t="s">
        <v>431</v>
      </c>
      <c r="B35" s="595" t="s">
        <v>432</v>
      </c>
      <c r="C35" s="596"/>
      <c r="D35" s="1343"/>
      <c r="E35" s="1343"/>
      <c r="F35" s="1343"/>
      <c r="G35" s="1343"/>
    </row>
    <row r="36" spans="1:7" s="314" customFormat="1" ht="21.75" customHeight="1">
      <c r="A36" s="597"/>
      <c r="B36" s="598"/>
      <c r="C36" s="599"/>
      <c r="D36" s="1343"/>
      <c r="E36" s="1343"/>
      <c r="F36" s="1343"/>
      <c r="G36" s="1343"/>
    </row>
    <row r="37" spans="1:7" s="314" customFormat="1" ht="21.75" customHeight="1">
      <c r="A37" s="600"/>
      <c r="B37" s="601"/>
      <c r="C37" s="602" t="s">
        <v>132</v>
      </c>
      <c r="D37" s="1343"/>
      <c r="E37" s="1343"/>
      <c r="F37" s="1343"/>
      <c r="G37" s="1343"/>
    </row>
    <row r="38" spans="1:7" s="314" customFormat="1" ht="21.75" customHeight="1">
      <c r="A38" s="342">
        <v>1</v>
      </c>
      <c r="B38" s="603" t="s">
        <v>433</v>
      </c>
      <c r="C38" s="346">
        <v>80000</v>
      </c>
      <c r="D38" s="1343"/>
      <c r="E38" s="1343"/>
      <c r="F38" s="1343"/>
      <c r="G38" s="1343"/>
    </row>
    <row r="39" spans="1:7" s="278" customFormat="1">
      <c r="A39" s="303">
        <v>2</v>
      </c>
      <c r="B39" s="304" t="s">
        <v>434</v>
      </c>
      <c r="C39" s="302">
        <v>40000</v>
      </c>
      <c r="D39" s="1339"/>
      <c r="E39" s="1339"/>
      <c r="F39" s="1339"/>
      <c r="G39" s="1339"/>
    </row>
    <row r="40" spans="1:7" s="314" customFormat="1" ht="21.75" customHeight="1">
      <c r="A40" s="342">
        <v>3</v>
      </c>
      <c r="B40" s="604" t="s">
        <v>435</v>
      </c>
      <c r="C40" s="346">
        <v>38400</v>
      </c>
      <c r="D40" s="1343"/>
      <c r="E40" s="1343"/>
      <c r="F40" s="1343"/>
      <c r="G40" s="1343"/>
    </row>
    <row r="41" spans="1:7" s="314" customFormat="1" ht="21.75" customHeight="1">
      <c r="A41" s="303">
        <v>4</v>
      </c>
      <c r="B41" s="605" t="s">
        <v>436</v>
      </c>
      <c r="C41" s="346">
        <v>96000</v>
      </c>
      <c r="D41" s="1343"/>
      <c r="E41" s="1343"/>
      <c r="F41" s="1343"/>
      <c r="G41" s="1343"/>
    </row>
    <row r="42" spans="1:7" s="278" customFormat="1">
      <c r="A42" s="342">
        <v>5</v>
      </c>
      <c r="B42" s="304" t="s">
        <v>437</v>
      </c>
      <c r="C42" s="302">
        <v>40000</v>
      </c>
      <c r="D42" s="1339"/>
      <c r="E42" s="1339"/>
      <c r="F42" s="1339"/>
      <c r="G42" s="1339"/>
    </row>
    <row r="43" spans="1:7" s="278" customFormat="1">
      <c r="A43" s="303">
        <v>6</v>
      </c>
      <c r="B43" s="304" t="s">
        <v>438</v>
      </c>
      <c r="C43" s="302">
        <v>75000</v>
      </c>
      <c r="D43" s="1339"/>
      <c r="E43" s="1339"/>
      <c r="F43" s="1339"/>
      <c r="G43" s="1339"/>
    </row>
    <row r="44" spans="1:7" s="278" customFormat="1">
      <c r="A44" s="303"/>
      <c r="B44" s="304"/>
      <c r="C44" s="606"/>
      <c r="D44" s="1339"/>
      <c r="E44" s="1339"/>
      <c r="F44" s="1339"/>
      <c r="G44" s="1339"/>
    </row>
    <row r="45" spans="1:7" s="278" customFormat="1" ht="23.25" customHeight="1">
      <c r="A45" s="378" t="s">
        <v>439</v>
      </c>
      <c r="B45" s="607" t="s">
        <v>440</v>
      </c>
      <c r="C45" s="399"/>
      <c r="D45" s="1339"/>
      <c r="E45" s="1339"/>
      <c r="F45" s="1339"/>
      <c r="G45" s="1339"/>
    </row>
    <row r="46" spans="1:7" s="278" customFormat="1">
      <c r="A46" s="327"/>
      <c r="B46" s="379"/>
      <c r="C46" s="380" t="s">
        <v>1</v>
      </c>
      <c r="D46" s="1339"/>
      <c r="E46" s="1339"/>
      <c r="F46" s="1339"/>
      <c r="G46" s="1339"/>
    </row>
    <row r="47" spans="1:7" s="314" customFormat="1" ht="21.75" customHeight="1">
      <c r="A47" s="342">
        <v>1</v>
      </c>
      <c r="B47" s="603" t="s">
        <v>441</v>
      </c>
      <c r="C47" s="346">
        <v>80000</v>
      </c>
      <c r="D47" s="1343"/>
      <c r="E47" s="1343"/>
      <c r="F47" s="1343"/>
      <c r="G47" s="1343"/>
    </row>
    <row r="48" spans="1:7" s="278" customFormat="1">
      <c r="A48" s="282">
        <v>2</v>
      </c>
      <c r="B48" s="278" t="s">
        <v>442</v>
      </c>
      <c r="C48" s="302">
        <v>19200</v>
      </c>
      <c r="D48" s="1339"/>
      <c r="E48" s="1339"/>
      <c r="F48" s="1339"/>
      <c r="G48" s="1339"/>
    </row>
    <row r="49" spans="1:7" s="278" customFormat="1">
      <c r="A49" s="342">
        <v>3</v>
      </c>
      <c r="B49" s="278" t="s">
        <v>443</v>
      </c>
      <c r="C49" s="302">
        <v>48000</v>
      </c>
      <c r="D49" s="1339"/>
      <c r="E49" s="1339"/>
      <c r="F49" s="1339"/>
      <c r="G49" s="1339"/>
    </row>
    <row r="50" spans="1:7" s="278" customFormat="1">
      <c r="A50" s="282">
        <v>4</v>
      </c>
      <c r="B50" s="304" t="s">
        <v>29</v>
      </c>
      <c r="C50" s="302">
        <v>150000</v>
      </c>
      <c r="D50" s="1339"/>
      <c r="E50" s="1339"/>
      <c r="F50" s="1339"/>
      <c r="G50" s="1339"/>
    </row>
    <row r="51" spans="1:7" s="278" customFormat="1">
      <c r="A51" s="342">
        <v>5</v>
      </c>
      <c r="B51" s="310" t="s">
        <v>444</v>
      </c>
      <c r="C51" s="302">
        <v>40000</v>
      </c>
      <c r="D51" s="1339"/>
      <c r="E51" s="1339"/>
      <c r="F51" s="1339"/>
      <c r="G51" s="1339"/>
    </row>
    <row r="52" spans="1:7" s="278" customFormat="1" ht="23.25" customHeight="1">
      <c r="A52" s="282"/>
      <c r="B52" s="608"/>
      <c r="C52" s="292">
        <f>SUM(C38:C51)</f>
        <v>706600</v>
      </c>
      <c r="D52" s="1339"/>
      <c r="E52" s="1339"/>
      <c r="F52" s="1339"/>
      <c r="G52" s="1339"/>
    </row>
    <row r="53" spans="1:7" s="278" customFormat="1" ht="39.75" customHeight="1">
      <c r="A53" s="334">
        <v>6.4</v>
      </c>
      <c r="B53" s="335" t="s">
        <v>1960</v>
      </c>
      <c r="C53" s="399"/>
      <c r="D53" s="1339"/>
      <c r="E53" s="1339"/>
      <c r="F53" s="1339"/>
      <c r="G53" s="1339"/>
    </row>
    <row r="54" spans="1:7" s="278" customFormat="1" ht="18.75" customHeight="1">
      <c r="A54" s="322" t="s">
        <v>445</v>
      </c>
      <c r="B54" s="323" t="s">
        <v>446</v>
      </c>
      <c r="C54" s="324"/>
      <c r="D54" s="1339"/>
      <c r="E54" s="1339"/>
      <c r="F54" s="1339"/>
      <c r="G54" s="1339"/>
    </row>
    <row r="55" spans="1:7" s="278" customFormat="1">
      <c r="A55" s="609"/>
      <c r="B55" s="610" t="s">
        <v>447</v>
      </c>
      <c r="C55" s="611" t="s">
        <v>1</v>
      </c>
      <c r="D55" s="1339"/>
      <c r="E55" s="1339"/>
      <c r="F55" s="1339"/>
      <c r="G55" s="1339"/>
    </row>
    <row r="56" spans="1:7" s="278" customFormat="1">
      <c r="A56" s="459"/>
      <c r="B56" s="607" t="s">
        <v>448</v>
      </c>
      <c r="C56" s="612"/>
      <c r="D56" s="1339"/>
      <c r="E56" s="1339"/>
      <c r="F56" s="1339"/>
      <c r="G56" s="1339"/>
    </row>
    <row r="57" spans="1:7" s="278" customFormat="1">
      <c r="A57" s="327">
        <v>1</v>
      </c>
      <c r="B57" s="288" t="s">
        <v>449</v>
      </c>
      <c r="C57" s="330">
        <v>80000</v>
      </c>
      <c r="D57" s="1339"/>
      <c r="E57" s="1339"/>
      <c r="F57" s="1339"/>
      <c r="G57" s="1339"/>
    </row>
    <row r="58" spans="1:7" s="278" customFormat="1">
      <c r="A58" s="327">
        <v>2</v>
      </c>
      <c r="B58" s="288" t="s">
        <v>450</v>
      </c>
      <c r="C58" s="330">
        <v>8000</v>
      </c>
      <c r="D58" s="1339"/>
      <c r="E58" s="1339"/>
      <c r="F58" s="1339"/>
      <c r="G58" s="1339"/>
    </row>
    <row r="59" spans="1:7" s="278" customFormat="1">
      <c r="A59" s="327">
        <v>3</v>
      </c>
      <c r="B59" s="288" t="s">
        <v>451</v>
      </c>
      <c r="C59" s="330">
        <v>14000</v>
      </c>
      <c r="D59" s="1339"/>
      <c r="E59" s="1339"/>
      <c r="F59" s="1339"/>
      <c r="G59" s="1339"/>
    </row>
    <row r="60" spans="1:7" s="278" customFormat="1">
      <c r="A60" s="327">
        <v>4</v>
      </c>
      <c r="B60" s="288" t="s">
        <v>452</v>
      </c>
      <c r="C60" s="330">
        <v>80000</v>
      </c>
      <c r="D60" s="1339"/>
      <c r="E60" s="1339"/>
      <c r="F60" s="1339"/>
      <c r="G60" s="1339"/>
    </row>
    <row r="61" spans="1:7" s="278" customFormat="1">
      <c r="A61" s="327"/>
      <c r="B61" s="607" t="s">
        <v>453</v>
      </c>
      <c r="C61" s="331"/>
      <c r="D61" s="1339"/>
      <c r="E61" s="1339"/>
      <c r="F61" s="1339"/>
      <c r="G61" s="1339"/>
    </row>
    <row r="62" spans="1:7" s="278" customFormat="1">
      <c r="A62" s="327">
        <v>5</v>
      </c>
      <c r="B62" s="288" t="s">
        <v>454</v>
      </c>
      <c r="C62" s="332">
        <v>80000</v>
      </c>
      <c r="D62" s="1339"/>
      <c r="E62" s="1339"/>
      <c r="F62" s="1339"/>
      <c r="G62" s="1339"/>
    </row>
    <row r="63" spans="1:7" s="278" customFormat="1">
      <c r="A63" s="327">
        <v>6</v>
      </c>
      <c r="B63" s="288" t="s">
        <v>452</v>
      </c>
      <c r="C63" s="332">
        <v>80000</v>
      </c>
      <c r="D63" s="1339"/>
      <c r="E63" s="1339"/>
      <c r="F63" s="1339"/>
      <c r="G63" s="1339"/>
    </row>
    <row r="64" spans="1:7" s="278" customFormat="1">
      <c r="A64" s="282">
        <v>7</v>
      </c>
      <c r="B64" s="278" t="s">
        <v>455</v>
      </c>
      <c r="C64" s="302">
        <v>7680</v>
      </c>
      <c r="D64" s="1339"/>
      <c r="E64" s="1339"/>
      <c r="F64" s="1339"/>
      <c r="G64" s="1339"/>
    </row>
    <row r="65" spans="1:7" s="278" customFormat="1">
      <c r="A65" s="282">
        <v>8</v>
      </c>
      <c r="B65" s="278" t="s">
        <v>456</v>
      </c>
      <c r="C65" s="302">
        <v>38400</v>
      </c>
      <c r="D65" s="1339"/>
      <c r="E65" s="1339"/>
      <c r="F65" s="1339"/>
      <c r="G65" s="1339"/>
    </row>
    <row r="66" spans="1:7" s="278" customFormat="1">
      <c r="A66" s="282">
        <v>9</v>
      </c>
      <c r="B66" s="278" t="s">
        <v>457</v>
      </c>
      <c r="C66" s="302">
        <v>30000</v>
      </c>
      <c r="D66" s="1339"/>
      <c r="E66" s="1339"/>
      <c r="F66" s="1339"/>
      <c r="G66" s="1339"/>
    </row>
    <row r="67" spans="1:7" s="314" customFormat="1">
      <c r="A67" s="462">
        <v>10</v>
      </c>
      <c r="B67" s="473" t="s">
        <v>458</v>
      </c>
      <c r="C67" s="333">
        <v>40000</v>
      </c>
      <c r="D67" s="1339"/>
      <c r="E67" s="1339"/>
      <c r="F67" s="1343"/>
      <c r="G67" s="1343"/>
    </row>
    <row r="68" spans="1:7" s="314" customFormat="1">
      <c r="A68" s="440"/>
      <c r="B68" s="473"/>
      <c r="C68" s="678"/>
      <c r="D68" s="1339"/>
      <c r="E68" s="1339"/>
      <c r="F68" s="1343"/>
      <c r="G68" s="1343"/>
    </row>
    <row r="69" spans="1:7" s="278" customFormat="1">
      <c r="A69" s="334" t="s">
        <v>459</v>
      </c>
      <c r="B69" s="405" t="s">
        <v>460</v>
      </c>
      <c r="C69" s="614"/>
      <c r="D69" s="1339"/>
      <c r="E69" s="1339"/>
      <c r="F69" s="1339"/>
      <c r="G69" s="1339"/>
    </row>
    <row r="70" spans="1:7" s="278" customFormat="1">
      <c r="A70" s="327">
        <v>1</v>
      </c>
      <c r="B70" s="288" t="s">
        <v>461</v>
      </c>
      <c r="C70" s="332">
        <v>160000</v>
      </c>
      <c r="D70" s="1339"/>
      <c r="E70" s="1339"/>
      <c r="F70" s="1339"/>
      <c r="G70" s="1339"/>
    </row>
    <row r="71" spans="1:7" s="278" customFormat="1">
      <c r="A71" s="282">
        <v>2</v>
      </c>
      <c r="B71" s="278" t="s">
        <v>32</v>
      </c>
      <c r="C71" s="302">
        <v>80000</v>
      </c>
      <c r="D71" s="1339"/>
      <c r="E71" s="1339"/>
      <c r="F71" s="1339"/>
      <c r="G71" s="1339"/>
    </row>
    <row r="72" spans="1:7" s="278" customFormat="1">
      <c r="A72" s="327">
        <v>3</v>
      </c>
      <c r="B72" s="338" t="s">
        <v>462</v>
      </c>
      <c r="C72" s="302">
        <v>80000</v>
      </c>
      <c r="D72" s="1339"/>
      <c r="E72" s="1339"/>
      <c r="F72" s="1339"/>
      <c r="G72" s="1339"/>
    </row>
    <row r="73" spans="1:7" s="278" customFormat="1">
      <c r="A73" s="282">
        <v>4</v>
      </c>
      <c r="B73" s="338" t="s">
        <v>463</v>
      </c>
      <c r="C73" s="302">
        <v>400000</v>
      </c>
      <c r="D73" s="1339"/>
      <c r="E73" s="1339"/>
      <c r="F73" s="1339"/>
      <c r="G73" s="1339"/>
    </row>
    <row r="74" spans="1:7" s="278" customFormat="1">
      <c r="A74" s="327">
        <v>5</v>
      </c>
      <c r="B74" s="278" t="s">
        <v>464</v>
      </c>
      <c r="C74" s="302">
        <v>15360</v>
      </c>
      <c r="D74" s="1339"/>
      <c r="E74" s="1339"/>
      <c r="F74" s="1339"/>
      <c r="G74" s="1339"/>
    </row>
    <row r="75" spans="1:7" s="278" customFormat="1">
      <c r="A75" s="282">
        <v>6</v>
      </c>
      <c r="B75" s="278" t="s">
        <v>465</v>
      </c>
      <c r="C75" s="302">
        <v>76800</v>
      </c>
      <c r="D75" s="1339"/>
      <c r="E75" s="1339"/>
      <c r="F75" s="1339"/>
      <c r="G75" s="1339"/>
    </row>
    <row r="76" spans="1:7" s="278" customFormat="1">
      <c r="A76" s="327">
        <v>7</v>
      </c>
      <c r="B76" s="278" t="s">
        <v>466</v>
      </c>
      <c r="C76" s="302">
        <v>60000</v>
      </c>
      <c r="D76" s="1339"/>
      <c r="E76" s="1339"/>
      <c r="F76" s="1339"/>
      <c r="G76" s="1339"/>
    </row>
    <row r="77" spans="1:7" s="314" customFormat="1">
      <c r="A77" s="282">
        <v>8</v>
      </c>
      <c r="B77" s="310" t="s">
        <v>467</v>
      </c>
      <c r="C77" s="302">
        <v>80000</v>
      </c>
      <c r="D77" s="1339"/>
      <c r="E77" s="1339"/>
      <c r="F77" s="1343"/>
      <c r="G77" s="1343"/>
    </row>
    <row r="78" spans="1:7" s="278" customFormat="1" ht="37.5">
      <c r="A78" s="334" t="s">
        <v>468</v>
      </c>
      <c r="B78" s="405" t="s">
        <v>469</v>
      </c>
      <c r="C78" s="614"/>
      <c r="D78" s="1339"/>
      <c r="E78" s="1339"/>
      <c r="F78" s="1339"/>
      <c r="G78" s="1339"/>
    </row>
    <row r="79" spans="1:7" s="278" customFormat="1" ht="18" customHeight="1">
      <c r="A79" s="327"/>
      <c r="B79" s="379"/>
      <c r="C79" s="380" t="s">
        <v>1</v>
      </c>
      <c r="D79" s="1339"/>
      <c r="E79" s="1339"/>
      <c r="F79" s="1339"/>
      <c r="G79" s="1339"/>
    </row>
    <row r="80" spans="1:7" s="278" customFormat="1">
      <c r="A80" s="282">
        <v>1</v>
      </c>
      <c r="B80" s="278" t="s">
        <v>470</v>
      </c>
      <c r="C80" s="302">
        <v>67200</v>
      </c>
      <c r="D80" s="1339"/>
      <c r="E80" s="1339"/>
      <c r="F80" s="1339"/>
      <c r="G80" s="1339"/>
    </row>
    <row r="81" spans="1:7" s="278" customFormat="1">
      <c r="A81" s="282">
        <v>2</v>
      </c>
      <c r="B81" s="337" t="s">
        <v>471</v>
      </c>
      <c r="C81" s="302">
        <v>80000</v>
      </c>
      <c r="D81" s="1339"/>
      <c r="E81" s="1339"/>
      <c r="F81" s="1339"/>
      <c r="G81" s="1339"/>
    </row>
    <row r="82" spans="1:7" s="278" customFormat="1">
      <c r="A82" s="282">
        <v>3</v>
      </c>
      <c r="B82" s="278" t="s">
        <v>14</v>
      </c>
      <c r="C82" s="302">
        <v>40000</v>
      </c>
      <c r="D82" s="1339"/>
      <c r="E82" s="1339"/>
      <c r="F82" s="1339"/>
      <c r="G82" s="1339"/>
    </row>
    <row r="83" spans="1:7" s="278" customFormat="1">
      <c r="A83" s="282">
        <v>4</v>
      </c>
      <c r="B83" s="338" t="s">
        <v>472</v>
      </c>
      <c r="C83" s="302">
        <v>40000</v>
      </c>
      <c r="D83" s="1339"/>
      <c r="E83" s="1339"/>
      <c r="F83" s="1339"/>
      <c r="G83" s="1339"/>
    </row>
    <row r="84" spans="1:7" s="278" customFormat="1">
      <c r="A84" s="282">
        <v>5</v>
      </c>
      <c r="B84" s="338" t="s">
        <v>473</v>
      </c>
      <c r="C84" s="302">
        <v>200000</v>
      </c>
      <c r="D84" s="1339"/>
      <c r="E84" s="1339"/>
      <c r="F84" s="1339"/>
      <c r="G84" s="1339"/>
    </row>
    <row r="85" spans="1:7" s="278" customFormat="1">
      <c r="A85" s="282">
        <v>6</v>
      </c>
      <c r="B85" s="278" t="s">
        <v>474</v>
      </c>
      <c r="C85" s="302">
        <v>9600</v>
      </c>
      <c r="D85" s="1339"/>
      <c r="E85" s="1339"/>
      <c r="F85" s="1339"/>
      <c r="G85" s="1339"/>
    </row>
    <row r="86" spans="1:7" s="278" customFormat="1">
      <c r="A86" s="282">
        <v>6</v>
      </c>
      <c r="B86" s="278" t="s">
        <v>475</v>
      </c>
      <c r="C86" s="302">
        <v>19200</v>
      </c>
      <c r="D86" s="1339"/>
      <c r="E86" s="1339"/>
      <c r="F86" s="1339"/>
      <c r="G86" s="1339"/>
    </row>
    <row r="87" spans="1:7" s="278" customFormat="1">
      <c r="A87" s="282">
        <v>7</v>
      </c>
      <c r="B87" s="278" t="s">
        <v>476</v>
      </c>
      <c r="C87" s="302">
        <v>48000</v>
      </c>
      <c r="D87" s="1339"/>
      <c r="E87" s="1339"/>
      <c r="F87" s="1339"/>
      <c r="G87" s="1339"/>
    </row>
    <row r="88" spans="1:7" s="278" customFormat="1">
      <c r="A88" s="282">
        <v>8</v>
      </c>
      <c r="B88" s="278" t="s">
        <v>477</v>
      </c>
      <c r="C88" s="302">
        <v>75000</v>
      </c>
      <c r="D88" s="1339"/>
      <c r="E88" s="1339"/>
      <c r="F88" s="1339"/>
      <c r="G88" s="1339"/>
    </row>
    <row r="89" spans="1:7" s="278" customFormat="1">
      <c r="A89" s="282">
        <v>9</v>
      </c>
      <c r="B89" s="310" t="s">
        <v>458</v>
      </c>
      <c r="C89" s="302">
        <v>40000</v>
      </c>
      <c r="D89" s="1339"/>
      <c r="E89" s="1339"/>
      <c r="F89" s="1339"/>
      <c r="G89" s="1339"/>
    </row>
    <row r="90" spans="1:7" s="314" customFormat="1" ht="21.75" customHeight="1">
      <c r="A90" s="339" t="s">
        <v>478</v>
      </c>
      <c r="B90" s="340" t="s">
        <v>479</v>
      </c>
      <c r="C90" s="341"/>
      <c r="D90" s="1343"/>
      <c r="E90" s="1343"/>
      <c r="F90" s="1343"/>
      <c r="G90" s="1343"/>
    </row>
    <row r="91" spans="1:7" s="278" customFormat="1" ht="16.5" customHeight="1">
      <c r="A91" s="459"/>
      <c r="B91" s="615" t="s">
        <v>480</v>
      </c>
      <c r="C91" s="380" t="s">
        <v>1</v>
      </c>
      <c r="D91" s="1339"/>
      <c r="E91" s="1339"/>
      <c r="F91" s="1339"/>
      <c r="G91" s="1339"/>
    </row>
    <row r="92" spans="1:7" s="314" customFormat="1" ht="21.75" customHeight="1">
      <c r="A92" s="342">
        <v>2</v>
      </c>
      <c r="B92" s="345" t="s">
        <v>481</v>
      </c>
      <c r="C92" s="346">
        <v>384000</v>
      </c>
      <c r="D92" s="1343"/>
      <c r="E92" s="1343"/>
      <c r="F92" s="1343"/>
      <c r="G92" s="1343"/>
    </row>
    <row r="93" spans="1:7" s="314" customFormat="1" ht="21.75" customHeight="1">
      <c r="A93" s="342">
        <v>3</v>
      </c>
      <c r="B93" s="347" t="s">
        <v>482</v>
      </c>
      <c r="C93" s="346">
        <v>120000</v>
      </c>
      <c r="D93" s="1343"/>
      <c r="E93" s="1343"/>
      <c r="F93" s="1343"/>
      <c r="G93" s="1343"/>
    </row>
    <row r="94" spans="1:7" s="314" customFormat="1" ht="21.75" customHeight="1">
      <c r="A94" s="342">
        <v>1</v>
      </c>
      <c r="B94" s="345" t="s">
        <v>483</v>
      </c>
      <c r="C94" s="346">
        <v>50000</v>
      </c>
      <c r="D94" s="1343"/>
      <c r="E94" s="1343"/>
      <c r="F94" s="1343"/>
      <c r="G94" s="1343"/>
    </row>
    <row r="95" spans="1:7" s="278" customFormat="1">
      <c r="A95" s="342">
        <v>4</v>
      </c>
      <c r="B95" s="304" t="s">
        <v>484</v>
      </c>
      <c r="C95" s="302">
        <v>90000</v>
      </c>
      <c r="D95" s="1339"/>
      <c r="E95" s="1339"/>
      <c r="F95" s="1339"/>
      <c r="G95" s="1339"/>
    </row>
    <row r="96" spans="1:7" s="314" customFormat="1" ht="21.75" customHeight="1">
      <c r="A96" s="342">
        <v>5</v>
      </c>
      <c r="B96" s="345" t="s">
        <v>485</v>
      </c>
      <c r="C96" s="346">
        <v>80000</v>
      </c>
      <c r="D96" s="1343"/>
      <c r="E96" s="1343"/>
      <c r="F96" s="1343"/>
      <c r="G96" s="1343"/>
    </row>
    <row r="97" spans="1:7" s="314" customFormat="1" ht="27" customHeight="1">
      <c r="A97" s="616" t="s">
        <v>486</v>
      </c>
      <c r="B97" s="617" t="s">
        <v>487</v>
      </c>
      <c r="C97" s="618"/>
      <c r="D97" s="1343"/>
      <c r="E97" s="1343"/>
      <c r="F97" s="1343"/>
      <c r="G97" s="1343"/>
    </row>
    <row r="98" spans="1:7" s="278" customFormat="1">
      <c r="A98" s="459"/>
      <c r="B98" s="619"/>
      <c r="C98" s="380" t="s">
        <v>1</v>
      </c>
      <c r="D98" s="1339"/>
      <c r="E98" s="1339"/>
      <c r="F98" s="1339"/>
      <c r="G98" s="1339"/>
    </row>
    <row r="99" spans="1:7" s="278" customFormat="1">
      <c r="A99" s="282">
        <v>1</v>
      </c>
      <c r="B99" s="337" t="s">
        <v>488</v>
      </c>
      <c r="C99" s="302">
        <v>80000</v>
      </c>
      <c r="D99" s="1339"/>
      <c r="E99" s="1339"/>
      <c r="F99" s="1339"/>
      <c r="G99" s="1339"/>
    </row>
    <row r="100" spans="1:7" s="278" customFormat="1">
      <c r="A100" s="282">
        <v>2</v>
      </c>
      <c r="B100" s="278" t="s">
        <v>489</v>
      </c>
      <c r="C100" s="302">
        <v>40000</v>
      </c>
      <c r="D100" s="1339"/>
      <c r="E100" s="1339"/>
      <c r="F100" s="1339"/>
      <c r="G100" s="1339"/>
    </row>
    <row r="101" spans="1:7" s="278" customFormat="1">
      <c r="A101" s="282">
        <v>3</v>
      </c>
      <c r="B101" s="338" t="s">
        <v>472</v>
      </c>
      <c r="C101" s="302">
        <v>40000</v>
      </c>
      <c r="D101" s="1339"/>
      <c r="E101" s="1339"/>
      <c r="F101" s="1339"/>
      <c r="G101" s="1339"/>
    </row>
    <row r="102" spans="1:7" s="278" customFormat="1">
      <c r="A102" s="282">
        <v>4</v>
      </c>
      <c r="B102" s="338" t="s">
        <v>490</v>
      </c>
      <c r="C102" s="302">
        <v>200000</v>
      </c>
      <c r="D102" s="1339"/>
      <c r="E102" s="1339"/>
      <c r="F102" s="1339"/>
      <c r="G102" s="1339"/>
    </row>
    <row r="103" spans="1:7" s="278" customFormat="1">
      <c r="A103" s="282">
        <v>5</v>
      </c>
      <c r="B103" s="278" t="s">
        <v>491</v>
      </c>
      <c r="C103" s="302">
        <v>384000</v>
      </c>
      <c r="D103" s="1339"/>
      <c r="E103" s="1339"/>
      <c r="F103" s="1339"/>
      <c r="G103" s="1339"/>
    </row>
    <row r="104" spans="1:7" s="278" customFormat="1">
      <c r="A104" s="282">
        <v>6</v>
      </c>
      <c r="B104" s="278" t="s">
        <v>482</v>
      </c>
      <c r="C104" s="302">
        <v>120000</v>
      </c>
      <c r="D104" s="1339"/>
      <c r="E104" s="1339"/>
      <c r="F104" s="1339"/>
      <c r="G104" s="1339"/>
    </row>
    <row r="105" spans="1:7" s="278" customFormat="1">
      <c r="A105" s="282">
        <v>7</v>
      </c>
      <c r="B105" s="304" t="s">
        <v>484</v>
      </c>
      <c r="C105" s="302">
        <v>90000</v>
      </c>
      <c r="D105" s="1339"/>
      <c r="E105" s="1339"/>
      <c r="F105" s="1339"/>
      <c r="G105" s="1339"/>
    </row>
    <row r="106" spans="1:7" s="278" customFormat="1">
      <c r="A106" s="462">
        <v>8</v>
      </c>
      <c r="B106" s="473" t="s">
        <v>483</v>
      </c>
      <c r="C106" s="333">
        <v>50000</v>
      </c>
      <c r="D106" s="1339"/>
      <c r="E106" s="1339"/>
      <c r="F106" s="1339"/>
      <c r="G106" s="1339"/>
    </row>
    <row r="107" spans="1:7" s="278" customFormat="1" ht="39" customHeight="1">
      <c r="A107" s="378" t="s">
        <v>492</v>
      </c>
      <c r="B107" s="1462" t="s">
        <v>493</v>
      </c>
      <c r="C107" s="1463"/>
      <c r="D107" s="1339"/>
      <c r="E107" s="1339"/>
      <c r="F107" s="1339"/>
      <c r="G107" s="1339"/>
    </row>
    <row r="108" spans="1:7" s="278" customFormat="1">
      <c r="A108" s="459"/>
      <c r="B108" s="379"/>
      <c r="C108" s="380" t="s">
        <v>1</v>
      </c>
      <c r="D108" s="1339"/>
      <c r="E108" s="1339"/>
      <c r="F108" s="1339"/>
      <c r="G108" s="1339"/>
    </row>
    <row r="109" spans="1:7" s="278" customFormat="1" ht="22.5" customHeight="1">
      <c r="A109" s="282">
        <v>1</v>
      </c>
      <c r="B109" s="278" t="s">
        <v>470</v>
      </c>
      <c r="C109" s="302">
        <v>67200</v>
      </c>
      <c r="D109" s="1339"/>
      <c r="E109" s="1339"/>
      <c r="F109" s="1339"/>
      <c r="G109" s="1339"/>
    </row>
    <row r="110" spans="1:7" s="314" customFormat="1">
      <c r="A110" s="344">
        <v>2</v>
      </c>
      <c r="B110" s="345" t="s">
        <v>491</v>
      </c>
      <c r="C110" s="432">
        <v>384000</v>
      </c>
      <c r="D110" s="1343"/>
      <c r="E110" s="1343"/>
      <c r="F110" s="1343"/>
      <c r="G110" s="1343"/>
    </row>
    <row r="111" spans="1:7" s="314" customFormat="1">
      <c r="A111" s="282">
        <v>3</v>
      </c>
      <c r="B111" s="278" t="s">
        <v>475</v>
      </c>
      <c r="C111" s="432">
        <v>19200</v>
      </c>
      <c r="D111" s="1343"/>
      <c r="E111" s="1343"/>
      <c r="F111" s="1343"/>
      <c r="G111" s="1343"/>
    </row>
    <row r="112" spans="1:7" s="278" customFormat="1">
      <c r="A112" s="344">
        <v>4</v>
      </c>
      <c r="B112" s="278" t="s">
        <v>482</v>
      </c>
      <c r="C112" s="302">
        <v>120000</v>
      </c>
      <c r="D112" s="1339"/>
      <c r="E112" s="1339"/>
      <c r="F112" s="1339"/>
      <c r="G112" s="1339"/>
    </row>
    <row r="113" spans="1:7" s="314" customFormat="1">
      <c r="A113" s="282">
        <v>5</v>
      </c>
      <c r="B113" s="345" t="s">
        <v>484</v>
      </c>
      <c r="C113" s="432">
        <v>90000</v>
      </c>
      <c r="D113" s="1343"/>
      <c r="E113" s="1343"/>
      <c r="F113" s="1343"/>
      <c r="G113" s="1343"/>
    </row>
    <row r="114" spans="1:7" s="278" customFormat="1">
      <c r="A114" s="344">
        <v>6</v>
      </c>
      <c r="B114" s="310" t="s">
        <v>483</v>
      </c>
      <c r="C114" s="302">
        <v>50000</v>
      </c>
      <c r="D114" s="1339"/>
      <c r="E114" s="1339"/>
      <c r="F114" s="1339"/>
      <c r="G114" s="1339"/>
    </row>
    <row r="115" spans="1:7" s="314" customFormat="1">
      <c r="A115" s="282">
        <v>7</v>
      </c>
      <c r="B115" s="345" t="s">
        <v>485</v>
      </c>
      <c r="C115" s="286">
        <v>80000</v>
      </c>
      <c r="D115" s="1343"/>
      <c r="E115" s="1343"/>
      <c r="F115" s="1343"/>
      <c r="G115" s="1343"/>
    </row>
    <row r="116" spans="1:7" s="314" customFormat="1" ht="21">
      <c r="A116" s="620"/>
      <c r="B116" s="474"/>
      <c r="C116" s="492">
        <f>SUM(C56:C115)</f>
        <v>4567640</v>
      </c>
      <c r="D116" s="1343"/>
      <c r="E116" s="1343"/>
      <c r="F116" s="1343"/>
      <c r="G116" s="1343"/>
    </row>
    <row r="117" spans="1:7" s="278" customFormat="1" ht="37.5" customHeight="1">
      <c r="A117" s="322">
        <v>6.5</v>
      </c>
      <c r="B117" s="1458" t="s">
        <v>1961</v>
      </c>
      <c r="C117" s="1459"/>
      <c r="D117" s="1339"/>
      <c r="E117" s="1339"/>
      <c r="F117" s="1339"/>
      <c r="G117" s="1339"/>
    </row>
    <row r="118" spans="1:7" s="278" customFormat="1">
      <c r="A118" s="621"/>
      <c r="B118" s="622"/>
      <c r="C118" s="326" t="s">
        <v>1</v>
      </c>
      <c r="D118" s="1339"/>
      <c r="E118" s="1339"/>
      <c r="F118" s="1339"/>
      <c r="G118" s="1339"/>
    </row>
    <row r="119" spans="1:7" s="278" customFormat="1">
      <c r="A119" s="282"/>
      <c r="B119" s="623" t="s">
        <v>382</v>
      </c>
      <c r="C119" s="624"/>
      <c r="D119" s="1339"/>
      <c r="E119" s="1339"/>
      <c r="F119" s="1339"/>
      <c r="G119" s="1339"/>
    </row>
    <row r="120" spans="1:7" s="278" customFormat="1">
      <c r="A120" s="282">
        <v>1</v>
      </c>
      <c r="B120" s="288" t="s">
        <v>494</v>
      </c>
      <c r="C120" s="286">
        <v>80000</v>
      </c>
      <c r="D120" s="1339"/>
      <c r="E120" s="1339"/>
      <c r="F120" s="1339"/>
      <c r="G120" s="1339"/>
    </row>
    <row r="121" spans="1:7" s="314" customFormat="1">
      <c r="A121" s="344">
        <v>2</v>
      </c>
      <c r="B121" s="345" t="s">
        <v>495</v>
      </c>
      <c r="C121" s="286">
        <v>6000</v>
      </c>
      <c r="D121" s="1343"/>
      <c r="E121" s="1343"/>
      <c r="F121" s="1343"/>
      <c r="G121" s="1343"/>
    </row>
    <row r="122" spans="1:7" s="278" customFormat="1">
      <c r="A122" s="282">
        <v>3</v>
      </c>
      <c r="B122" s="278" t="s">
        <v>496</v>
      </c>
      <c r="C122" s="302">
        <v>24000</v>
      </c>
      <c r="D122" s="1339"/>
      <c r="E122" s="1339"/>
      <c r="F122" s="1339"/>
      <c r="G122" s="1339"/>
    </row>
    <row r="123" spans="1:7" s="314" customFormat="1">
      <c r="A123" s="344">
        <v>4</v>
      </c>
      <c r="B123" s="345" t="s">
        <v>497</v>
      </c>
      <c r="C123" s="286">
        <v>7500</v>
      </c>
      <c r="D123" s="1343"/>
      <c r="E123" s="1343"/>
      <c r="F123" s="1343"/>
      <c r="G123" s="1343"/>
    </row>
    <row r="124" spans="1:7" s="278" customFormat="1">
      <c r="A124" s="282">
        <v>5</v>
      </c>
      <c r="B124" s="310" t="s">
        <v>498</v>
      </c>
      <c r="C124" s="302">
        <v>20000</v>
      </c>
      <c r="D124" s="1339"/>
      <c r="E124" s="1339"/>
      <c r="F124" s="1339"/>
      <c r="G124" s="1339"/>
    </row>
    <row r="125" spans="1:7" s="278" customFormat="1">
      <c r="A125" s="282"/>
      <c r="B125" s="625" t="s">
        <v>499</v>
      </c>
      <c r="C125" s="286"/>
      <c r="D125" s="1339"/>
      <c r="E125" s="1339"/>
      <c r="F125" s="1339"/>
      <c r="G125" s="1339"/>
    </row>
    <row r="126" spans="1:7" s="278" customFormat="1">
      <c r="A126" s="282">
        <v>1</v>
      </c>
      <c r="B126" s="287" t="s">
        <v>500</v>
      </c>
      <c r="C126" s="286">
        <v>640000</v>
      </c>
      <c r="D126" s="1339"/>
      <c r="E126" s="1339"/>
      <c r="F126" s="1339"/>
      <c r="G126" s="1339"/>
    </row>
    <row r="127" spans="1:7" s="314" customFormat="1">
      <c r="A127" s="344">
        <v>2</v>
      </c>
      <c r="B127" s="345" t="s">
        <v>495</v>
      </c>
      <c r="C127" s="286">
        <v>6000</v>
      </c>
      <c r="D127" s="1343"/>
      <c r="E127" s="1343"/>
      <c r="F127" s="1343"/>
      <c r="G127" s="1343"/>
    </row>
    <row r="128" spans="1:7" s="278" customFormat="1">
      <c r="A128" s="282">
        <v>3</v>
      </c>
      <c r="B128" s="278" t="s">
        <v>496</v>
      </c>
      <c r="C128" s="302">
        <v>24000</v>
      </c>
      <c r="D128" s="1339"/>
      <c r="E128" s="1339"/>
      <c r="F128" s="1339"/>
      <c r="G128" s="1339"/>
    </row>
    <row r="129" spans="1:7" s="314" customFormat="1">
      <c r="A129" s="344">
        <v>4</v>
      </c>
      <c r="B129" s="345" t="s">
        <v>497</v>
      </c>
      <c r="C129" s="286">
        <v>7500</v>
      </c>
      <c r="D129" s="1343"/>
      <c r="E129" s="1343"/>
      <c r="F129" s="1343"/>
      <c r="G129" s="1343"/>
    </row>
    <row r="130" spans="1:7" s="278" customFormat="1">
      <c r="A130" s="282">
        <v>5</v>
      </c>
      <c r="B130" s="310" t="s">
        <v>498</v>
      </c>
      <c r="C130" s="302">
        <v>20000</v>
      </c>
      <c r="D130" s="1339"/>
      <c r="E130" s="1339"/>
      <c r="F130" s="1339"/>
      <c r="G130" s="1339"/>
    </row>
    <row r="131" spans="1:7" s="278" customFormat="1">
      <c r="A131" s="282"/>
      <c r="B131" s="310"/>
      <c r="C131" s="318">
        <f>SUM(C120:C130)</f>
        <v>835000</v>
      </c>
      <c r="D131" s="1339"/>
      <c r="E131" s="1339"/>
      <c r="F131" s="1339"/>
      <c r="G131" s="1339"/>
    </row>
    <row r="132" spans="1:7" s="278" customFormat="1" ht="37.5" customHeight="1">
      <c r="A132" s="322">
        <v>6.6</v>
      </c>
      <c r="B132" s="1458" t="s">
        <v>1962</v>
      </c>
      <c r="C132" s="1459"/>
      <c r="D132" s="1339"/>
      <c r="E132" s="1339"/>
      <c r="F132" s="1339"/>
      <c r="G132" s="1339"/>
    </row>
    <row r="133" spans="1:7" s="278" customFormat="1" ht="24.75" customHeight="1">
      <c r="A133" s="621"/>
      <c r="B133" s="622"/>
      <c r="C133" s="326" t="s">
        <v>1</v>
      </c>
      <c r="D133" s="1339"/>
      <c r="E133" s="1339"/>
      <c r="F133" s="1339"/>
      <c r="G133" s="1339"/>
    </row>
    <row r="134" spans="1:7" s="314" customFormat="1">
      <c r="A134" s="344">
        <v>1</v>
      </c>
      <c r="B134" s="345" t="s">
        <v>501</v>
      </c>
      <c r="C134" s="624">
        <v>15360</v>
      </c>
      <c r="D134" s="1343"/>
      <c r="E134" s="1343"/>
      <c r="F134" s="1343"/>
      <c r="G134" s="1343"/>
    </row>
    <row r="135" spans="1:7" s="278" customFormat="1">
      <c r="A135" s="282">
        <v>2</v>
      </c>
      <c r="B135" s="278" t="s">
        <v>443</v>
      </c>
      <c r="C135" s="302">
        <v>48000</v>
      </c>
      <c r="D135" s="1339"/>
      <c r="E135" s="1339"/>
      <c r="F135" s="1339"/>
      <c r="G135" s="1339"/>
    </row>
    <row r="136" spans="1:7" s="314" customFormat="1">
      <c r="A136" s="344">
        <v>3</v>
      </c>
      <c r="B136" s="345" t="s">
        <v>502</v>
      </c>
      <c r="C136" s="286">
        <v>45000</v>
      </c>
      <c r="D136" s="1343"/>
      <c r="E136" s="1343"/>
      <c r="F136" s="1343"/>
      <c r="G136" s="1343"/>
    </row>
    <row r="137" spans="1:7" s="278" customFormat="1">
      <c r="A137" s="282">
        <v>4</v>
      </c>
      <c r="B137" s="310" t="s">
        <v>444</v>
      </c>
      <c r="C137" s="302">
        <v>40000</v>
      </c>
      <c r="D137" s="1339"/>
      <c r="E137" s="1339"/>
      <c r="F137" s="1339"/>
      <c r="G137" s="1339"/>
    </row>
    <row r="138" spans="1:7" s="278" customFormat="1">
      <c r="A138" s="344">
        <v>5</v>
      </c>
      <c r="B138" s="285" t="s">
        <v>503</v>
      </c>
      <c r="C138" s="286">
        <v>640000</v>
      </c>
      <c r="D138" s="1339"/>
      <c r="E138" s="1339"/>
      <c r="F138" s="1339"/>
      <c r="G138" s="1339"/>
    </row>
    <row r="139" spans="1:7" s="278" customFormat="1">
      <c r="A139" s="282">
        <v>6</v>
      </c>
      <c r="B139" s="285" t="s">
        <v>504</v>
      </c>
      <c r="C139" s="286">
        <v>640000</v>
      </c>
      <c r="D139" s="1339"/>
      <c r="E139" s="1339"/>
      <c r="F139" s="1339"/>
      <c r="G139" s="1339"/>
    </row>
    <row r="140" spans="1:7" s="278" customFormat="1">
      <c r="A140" s="344">
        <v>7</v>
      </c>
      <c r="B140" s="285" t="s">
        <v>505</v>
      </c>
      <c r="C140" s="286">
        <v>640000</v>
      </c>
      <c r="D140" s="1339"/>
      <c r="E140" s="1339"/>
      <c r="F140" s="1339"/>
      <c r="G140" s="1339"/>
    </row>
    <row r="141" spans="1:7" s="278" customFormat="1" ht="21">
      <c r="A141" s="462"/>
      <c r="B141" s="291"/>
      <c r="C141" s="292">
        <f>SUM(C134:C140)</f>
        <v>2068360</v>
      </c>
      <c r="D141" s="1339"/>
      <c r="E141" s="1339"/>
      <c r="F141" s="1339"/>
      <c r="G141" s="1339"/>
    </row>
    <row r="142" spans="1:7" s="278" customFormat="1">
      <c r="A142" s="322">
        <v>6.7</v>
      </c>
      <c r="B142" s="1456" t="s">
        <v>1963</v>
      </c>
      <c r="C142" s="1457"/>
      <c r="D142" s="1339"/>
      <c r="E142" s="1339"/>
      <c r="F142" s="1339"/>
      <c r="G142" s="1339"/>
    </row>
    <row r="143" spans="1:7" s="278" customFormat="1" ht="37.5" customHeight="1">
      <c r="A143" s="626"/>
      <c r="B143" s="1460" t="s">
        <v>1007</v>
      </c>
      <c r="C143" s="1461"/>
      <c r="D143" s="1339"/>
      <c r="E143" s="1339"/>
      <c r="F143" s="1339"/>
      <c r="G143" s="1339"/>
    </row>
    <row r="144" spans="1:7" s="278" customFormat="1">
      <c r="A144" s="365"/>
      <c r="B144" s="363" t="s">
        <v>506</v>
      </c>
      <c r="C144" s="364"/>
      <c r="D144" s="1339"/>
      <c r="E144" s="1339"/>
      <c r="F144" s="1339"/>
      <c r="G144" s="1339"/>
    </row>
    <row r="145" spans="1:7" s="278" customFormat="1">
      <c r="A145" s="365"/>
      <c r="B145" s="366" t="s">
        <v>507</v>
      </c>
      <c r="C145" s="364"/>
      <c r="D145" s="1339"/>
      <c r="E145" s="1339"/>
      <c r="F145" s="1339"/>
      <c r="G145" s="1339"/>
    </row>
    <row r="146" spans="1:7" s="278" customFormat="1" ht="56.25">
      <c r="A146" s="365"/>
      <c r="B146" s="367" t="s">
        <v>508</v>
      </c>
      <c r="C146" s="364"/>
      <c r="D146" s="1339"/>
      <c r="E146" s="1339"/>
      <c r="F146" s="1339"/>
      <c r="G146" s="1339"/>
    </row>
    <row r="147" spans="1:7" s="278" customFormat="1">
      <c r="A147" s="365"/>
      <c r="B147" s="366" t="s">
        <v>509</v>
      </c>
      <c r="C147" s="364"/>
      <c r="D147" s="1339"/>
      <c r="E147" s="1339"/>
      <c r="F147" s="1339"/>
      <c r="G147" s="1339"/>
    </row>
    <row r="148" spans="1:7" s="278" customFormat="1">
      <c r="A148" s="378">
        <v>1</v>
      </c>
      <c r="B148" s="427" t="s">
        <v>510</v>
      </c>
      <c r="C148" s="627"/>
      <c r="D148" s="1339"/>
      <c r="E148" s="1339"/>
      <c r="F148" s="1339"/>
      <c r="G148" s="1339"/>
    </row>
    <row r="149" spans="1:7" s="278" customFormat="1">
      <c r="A149" s="327"/>
      <c r="B149" s="379"/>
      <c r="C149" s="380" t="s">
        <v>1</v>
      </c>
      <c r="D149" s="1339"/>
      <c r="E149" s="1339"/>
      <c r="F149" s="1339"/>
      <c r="G149" s="1339"/>
    </row>
    <row r="150" spans="1:7" s="278" customFormat="1">
      <c r="A150" s="282">
        <v>1</v>
      </c>
      <c r="B150" s="278" t="s">
        <v>511</v>
      </c>
      <c r="C150" s="302">
        <v>33600</v>
      </c>
      <c r="D150" s="1339"/>
      <c r="E150" s="1339"/>
      <c r="F150" s="1339"/>
      <c r="G150" s="1339"/>
    </row>
    <row r="151" spans="1:7" s="278" customFormat="1">
      <c r="A151" s="282">
        <v>2</v>
      </c>
      <c r="B151" s="337" t="s">
        <v>512</v>
      </c>
      <c r="C151" s="302">
        <v>24000</v>
      </c>
      <c r="D151" s="1339"/>
      <c r="E151" s="1339"/>
      <c r="F151" s="1339"/>
      <c r="G151" s="1339"/>
    </row>
    <row r="152" spans="1:7" s="278" customFormat="1">
      <c r="A152" s="282">
        <v>3</v>
      </c>
      <c r="B152" s="278" t="s">
        <v>404</v>
      </c>
      <c r="C152" s="302">
        <v>20000</v>
      </c>
      <c r="D152" s="1339"/>
      <c r="E152" s="1339"/>
      <c r="F152" s="1339"/>
      <c r="G152" s="1339"/>
    </row>
    <row r="153" spans="1:7" s="278" customFormat="1">
      <c r="A153" s="282">
        <v>4</v>
      </c>
      <c r="B153" s="338" t="s">
        <v>513</v>
      </c>
      <c r="C153" s="302">
        <v>12000</v>
      </c>
      <c r="D153" s="1339"/>
      <c r="E153" s="1339"/>
      <c r="F153" s="1339"/>
      <c r="G153" s="1339"/>
    </row>
    <row r="154" spans="1:7" s="278" customFormat="1">
      <c r="A154" s="282">
        <v>5</v>
      </c>
      <c r="B154" s="338" t="s">
        <v>514</v>
      </c>
      <c r="C154" s="302">
        <v>60000</v>
      </c>
      <c r="D154" s="1339"/>
      <c r="E154" s="1339"/>
      <c r="F154" s="1339"/>
      <c r="G154" s="1339"/>
    </row>
    <row r="155" spans="1:7" s="278" customFormat="1">
      <c r="A155" s="282">
        <v>6</v>
      </c>
      <c r="B155" s="278" t="s">
        <v>515</v>
      </c>
      <c r="C155" s="302">
        <v>15360</v>
      </c>
      <c r="D155" s="1339"/>
      <c r="E155" s="1339"/>
      <c r="F155" s="1339"/>
      <c r="G155" s="1339"/>
    </row>
    <row r="156" spans="1:7" s="278" customFormat="1">
      <c r="A156" s="282">
        <v>7</v>
      </c>
      <c r="B156" s="278" t="s">
        <v>516</v>
      </c>
      <c r="C156" s="302">
        <v>19200</v>
      </c>
      <c r="D156" s="1339"/>
      <c r="E156" s="1339"/>
      <c r="F156" s="1339"/>
      <c r="G156" s="1339"/>
    </row>
    <row r="157" spans="1:7" s="278" customFormat="1">
      <c r="A157" s="282">
        <v>8</v>
      </c>
      <c r="B157" s="278" t="s">
        <v>517</v>
      </c>
      <c r="C157" s="302">
        <v>19200</v>
      </c>
      <c r="D157" s="1339"/>
      <c r="E157" s="1339"/>
      <c r="F157" s="1339"/>
      <c r="G157" s="1339"/>
    </row>
    <row r="158" spans="1:7" s="278" customFormat="1">
      <c r="A158" s="282">
        <v>9</v>
      </c>
      <c r="B158" s="310" t="s">
        <v>518</v>
      </c>
      <c r="C158" s="302">
        <v>20000</v>
      </c>
      <c r="D158" s="1339"/>
      <c r="E158" s="1339"/>
      <c r="F158" s="1339"/>
      <c r="G158" s="1339"/>
    </row>
    <row r="159" spans="1:7" s="278" customFormat="1" ht="37.5" customHeight="1">
      <c r="A159" s="378">
        <v>2</v>
      </c>
      <c r="B159" s="1462" t="s">
        <v>1008</v>
      </c>
      <c r="C159" s="1463"/>
      <c r="D159" s="1339"/>
      <c r="E159" s="1339"/>
      <c r="F159" s="1339"/>
      <c r="G159" s="1339"/>
    </row>
    <row r="160" spans="1:7" s="278" customFormat="1" ht="18" customHeight="1">
      <c r="A160" s="327"/>
      <c r="B160" s="379"/>
      <c r="C160" s="628" t="s">
        <v>1</v>
      </c>
      <c r="D160" s="1339"/>
      <c r="E160" s="1339"/>
      <c r="F160" s="1339"/>
      <c r="G160" s="1339"/>
    </row>
    <row r="161" spans="1:7" s="278" customFormat="1" ht="18" customHeight="1">
      <c r="A161" s="327"/>
      <c r="B161" s="379" t="s">
        <v>519</v>
      </c>
      <c r="C161" s="331"/>
      <c r="D161" s="1339"/>
      <c r="E161" s="1339"/>
      <c r="F161" s="1339"/>
      <c r="G161" s="1339"/>
    </row>
    <row r="162" spans="1:7" s="278" customFormat="1">
      <c r="A162" s="282">
        <v>1</v>
      </c>
      <c r="B162" s="278" t="s">
        <v>520</v>
      </c>
      <c r="C162" s="302">
        <v>40000</v>
      </c>
      <c r="D162" s="1339"/>
      <c r="E162" s="1339"/>
      <c r="F162" s="1339"/>
      <c r="G162" s="1339"/>
    </row>
    <row r="163" spans="1:7" s="278" customFormat="1">
      <c r="A163" s="282">
        <v>2</v>
      </c>
      <c r="B163" s="278" t="s">
        <v>521</v>
      </c>
      <c r="C163" s="302">
        <v>24000</v>
      </c>
      <c r="D163" s="1339"/>
      <c r="E163" s="1339"/>
      <c r="F163" s="1339"/>
      <c r="G163" s="1339"/>
    </row>
    <row r="164" spans="1:7" s="278" customFormat="1">
      <c r="A164" s="282">
        <v>3</v>
      </c>
      <c r="B164" s="278" t="s">
        <v>522</v>
      </c>
      <c r="C164" s="302">
        <v>80000</v>
      </c>
      <c r="D164" s="1339"/>
      <c r="E164" s="1339"/>
      <c r="F164" s="1339"/>
      <c r="G164" s="1339"/>
    </row>
    <row r="165" spans="1:7" s="278" customFormat="1">
      <c r="A165" s="282">
        <v>4</v>
      </c>
      <c r="B165" s="338" t="s">
        <v>523</v>
      </c>
      <c r="C165" s="302">
        <v>40000</v>
      </c>
      <c r="D165" s="1339"/>
      <c r="E165" s="1339"/>
      <c r="F165" s="1339"/>
      <c r="G165" s="1339"/>
    </row>
    <row r="166" spans="1:7" s="278" customFormat="1">
      <c r="A166" s="282">
        <v>5</v>
      </c>
      <c r="B166" s="338" t="s">
        <v>473</v>
      </c>
      <c r="C166" s="302">
        <v>200000</v>
      </c>
      <c r="D166" s="1339"/>
      <c r="E166" s="1339"/>
      <c r="F166" s="1339"/>
      <c r="G166" s="1339"/>
    </row>
    <row r="167" spans="1:7" s="278" customFormat="1">
      <c r="A167" s="282">
        <v>6</v>
      </c>
      <c r="B167" s="278" t="s">
        <v>455</v>
      </c>
      <c r="C167" s="302">
        <v>7680</v>
      </c>
      <c r="D167" s="1339"/>
      <c r="E167" s="1339"/>
      <c r="F167" s="1339"/>
      <c r="G167" s="1339"/>
    </row>
    <row r="168" spans="1:7" s="278" customFormat="1">
      <c r="A168" s="282">
        <v>7</v>
      </c>
      <c r="B168" s="278" t="s">
        <v>456</v>
      </c>
      <c r="C168" s="302">
        <v>38400</v>
      </c>
      <c r="D168" s="1339"/>
      <c r="E168" s="1339"/>
      <c r="F168" s="1339"/>
      <c r="G168" s="1339"/>
    </row>
    <row r="169" spans="1:7" s="278" customFormat="1">
      <c r="A169" s="282">
        <v>8</v>
      </c>
      <c r="B169" s="278" t="s">
        <v>457</v>
      </c>
      <c r="C169" s="302">
        <v>30000</v>
      </c>
      <c r="D169" s="1339"/>
      <c r="E169" s="1339"/>
      <c r="F169" s="1339"/>
      <c r="G169" s="1339"/>
    </row>
    <row r="170" spans="1:7" s="314" customFormat="1">
      <c r="A170" s="282">
        <v>9</v>
      </c>
      <c r="B170" s="310" t="s">
        <v>458</v>
      </c>
      <c r="C170" s="302">
        <v>40000</v>
      </c>
      <c r="D170" s="1339"/>
      <c r="E170" s="1339"/>
      <c r="F170" s="1343"/>
      <c r="G170" s="1343"/>
    </row>
    <row r="171" spans="1:7" s="278" customFormat="1" ht="18" customHeight="1">
      <c r="A171" s="282">
        <v>10</v>
      </c>
      <c r="B171" s="288" t="s">
        <v>524</v>
      </c>
      <c r="C171" s="330">
        <v>1600000</v>
      </c>
      <c r="D171" s="1339"/>
      <c r="E171" s="1339"/>
      <c r="F171" s="1339"/>
      <c r="G171" s="1339"/>
    </row>
    <row r="172" spans="1:7" s="278" customFormat="1" ht="18" customHeight="1">
      <c r="A172" s="282">
        <v>11</v>
      </c>
      <c r="B172" s="288" t="s">
        <v>525</v>
      </c>
      <c r="C172" s="332">
        <v>40000</v>
      </c>
      <c r="D172" s="1339"/>
      <c r="E172" s="1339"/>
      <c r="F172" s="1339"/>
      <c r="G172" s="1339"/>
    </row>
    <row r="173" spans="1:7" s="278" customFormat="1" ht="23.25" customHeight="1">
      <c r="A173" s="629">
        <v>3</v>
      </c>
      <c r="B173" s="427" t="s">
        <v>526</v>
      </c>
      <c r="C173" s="399"/>
      <c r="D173" s="1339"/>
      <c r="E173" s="1339"/>
      <c r="F173" s="1339"/>
      <c r="G173" s="1339"/>
    </row>
    <row r="174" spans="1:7" s="278" customFormat="1" ht="18" customHeight="1">
      <c r="A174" s="459"/>
      <c r="B174" s="619"/>
      <c r="C174" s="380" t="s">
        <v>1</v>
      </c>
      <c r="D174" s="1339"/>
      <c r="E174" s="1339"/>
      <c r="F174" s="1339"/>
      <c r="G174" s="1339"/>
    </row>
    <row r="175" spans="1:7" s="278" customFormat="1">
      <c r="A175" s="282">
        <v>1</v>
      </c>
      <c r="B175" s="337" t="s">
        <v>527</v>
      </c>
      <c r="C175" s="302">
        <v>100000</v>
      </c>
      <c r="D175" s="1339"/>
      <c r="E175" s="1339"/>
      <c r="F175" s="1339"/>
      <c r="G175" s="1339"/>
    </row>
    <row r="176" spans="1:7" s="278" customFormat="1">
      <c r="A176" s="282">
        <v>2</v>
      </c>
      <c r="B176" s="278" t="s">
        <v>489</v>
      </c>
      <c r="C176" s="302">
        <v>40000</v>
      </c>
      <c r="D176" s="1339"/>
      <c r="E176" s="1339"/>
      <c r="F176" s="1339"/>
      <c r="G176" s="1339"/>
    </row>
    <row r="177" spans="1:7" s="278" customFormat="1">
      <c r="A177" s="462">
        <v>3</v>
      </c>
      <c r="B177" s="679" t="s">
        <v>528</v>
      </c>
      <c r="C177" s="333">
        <v>40000</v>
      </c>
      <c r="D177" s="1339"/>
      <c r="E177" s="1339"/>
      <c r="F177" s="1339"/>
      <c r="G177" s="1339"/>
    </row>
    <row r="178" spans="1:7" s="278" customFormat="1">
      <c r="A178" s="475">
        <v>4</v>
      </c>
      <c r="B178" s="680" t="s">
        <v>490</v>
      </c>
      <c r="C178" s="477">
        <v>200000</v>
      </c>
      <c r="D178" s="1339"/>
      <c r="E178" s="1339"/>
      <c r="F178" s="1339"/>
      <c r="G178" s="1339"/>
    </row>
    <row r="179" spans="1:7" s="278" customFormat="1">
      <c r="A179" s="282">
        <v>5</v>
      </c>
      <c r="B179" s="278" t="s">
        <v>501</v>
      </c>
      <c r="C179" s="302">
        <v>15360</v>
      </c>
      <c r="D179" s="1339"/>
      <c r="E179" s="1339"/>
      <c r="F179" s="1339"/>
      <c r="G179" s="1339"/>
    </row>
    <row r="180" spans="1:7" s="278" customFormat="1">
      <c r="A180" s="282">
        <v>6</v>
      </c>
      <c r="B180" s="278" t="s">
        <v>529</v>
      </c>
      <c r="C180" s="302">
        <v>38400</v>
      </c>
      <c r="D180" s="1339"/>
      <c r="E180" s="1339"/>
      <c r="F180" s="1339"/>
      <c r="G180" s="1339"/>
    </row>
    <row r="181" spans="1:7" s="278" customFormat="1">
      <c r="A181" s="282">
        <v>7</v>
      </c>
      <c r="B181" s="310" t="s">
        <v>458</v>
      </c>
      <c r="C181" s="302">
        <v>40000</v>
      </c>
      <c r="D181" s="1339"/>
      <c r="E181" s="1339"/>
      <c r="F181" s="1339"/>
      <c r="G181" s="1339"/>
    </row>
    <row r="182" spans="1:7" s="278" customFormat="1" ht="27" customHeight="1">
      <c r="A182" s="483"/>
      <c r="B182" s="681"/>
      <c r="C182" s="630">
        <f>SUM(C150:C181)</f>
        <v>2837200</v>
      </c>
      <c r="D182" s="1339"/>
      <c r="E182" s="1339"/>
      <c r="F182" s="1339"/>
      <c r="G182" s="1339"/>
    </row>
    <row r="183" spans="1:7" s="278" customFormat="1" ht="39.75" customHeight="1">
      <c r="A183" s="629"/>
      <c r="B183" s="1462" t="s">
        <v>1009</v>
      </c>
      <c r="C183" s="1463"/>
      <c r="D183" s="1339"/>
      <c r="E183" s="1339"/>
      <c r="F183" s="1339"/>
      <c r="G183" s="1339"/>
    </row>
    <row r="184" spans="1:7" s="278" customFormat="1" ht="18" customHeight="1">
      <c r="A184" s="327"/>
      <c r="B184" s="615" t="s">
        <v>506</v>
      </c>
      <c r="C184" s="631"/>
      <c r="D184" s="1339"/>
      <c r="E184" s="1339"/>
      <c r="F184" s="1339"/>
      <c r="G184" s="1339"/>
    </row>
    <row r="185" spans="1:7" s="278" customFormat="1" ht="18" customHeight="1">
      <c r="A185" s="327"/>
      <c r="B185" s="379" t="s">
        <v>530</v>
      </c>
      <c r="C185" s="631"/>
      <c r="D185" s="1339"/>
      <c r="E185" s="1339"/>
      <c r="F185" s="1339"/>
      <c r="G185" s="1339"/>
    </row>
    <row r="186" spans="1:7" s="278" customFormat="1" ht="18" customHeight="1">
      <c r="A186" s="327"/>
      <c r="B186" s="379" t="s">
        <v>531</v>
      </c>
      <c r="C186" s="631"/>
      <c r="D186" s="1339"/>
      <c r="E186" s="1339"/>
      <c r="F186" s="1339"/>
      <c r="G186" s="1339"/>
    </row>
    <row r="187" spans="1:7" s="278" customFormat="1" ht="18" customHeight="1">
      <c r="A187" s="327"/>
      <c r="B187" s="379" t="s">
        <v>532</v>
      </c>
      <c r="C187" s="631"/>
      <c r="D187" s="1339"/>
      <c r="E187" s="1339"/>
      <c r="F187" s="1339"/>
      <c r="G187" s="1339"/>
    </row>
    <row r="188" spans="1:7" s="278" customFormat="1" ht="21.75" customHeight="1">
      <c r="A188" s="378">
        <v>1</v>
      </c>
      <c r="B188" s="427" t="s">
        <v>533</v>
      </c>
      <c r="C188" s="627"/>
      <c r="D188" s="1339"/>
      <c r="E188" s="1339"/>
      <c r="F188" s="1339"/>
      <c r="G188" s="1339"/>
    </row>
    <row r="189" spans="1:7" s="278" customFormat="1">
      <c r="A189" s="327"/>
      <c r="B189" s="379"/>
      <c r="C189" s="380" t="s">
        <v>1</v>
      </c>
      <c r="D189" s="1339"/>
      <c r="E189" s="1339"/>
      <c r="F189" s="1339"/>
      <c r="G189" s="1339"/>
    </row>
    <row r="190" spans="1:7" s="278" customFormat="1">
      <c r="A190" s="282">
        <v>1</v>
      </c>
      <c r="B190" s="278" t="s">
        <v>534</v>
      </c>
      <c r="C190" s="302">
        <v>180000</v>
      </c>
      <c r="D190" s="1339"/>
      <c r="E190" s="1339"/>
      <c r="F190" s="1339"/>
      <c r="G190" s="1339"/>
    </row>
    <row r="191" spans="1:7" s="278" customFormat="1">
      <c r="A191" s="282">
        <v>2</v>
      </c>
      <c r="B191" s="278" t="s">
        <v>535</v>
      </c>
      <c r="C191" s="302">
        <v>450000</v>
      </c>
      <c r="D191" s="1339"/>
      <c r="E191" s="1339"/>
      <c r="F191" s="1339"/>
      <c r="G191" s="1339"/>
    </row>
    <row r="192" spans="1:7" s="278" customFormat="1">
      <c r="A192" s="282">
        <v>3</v>
      </c>
      <c r="B192" s="304" t="s">
        <v>536</v>
      </c>
      <c r="C192" s="302">
        <v>375000</v>
      </c>
      <c r="D192" s="1339"/>
      <c r="E192" s="1339"/>
      <c r="F192" s="1339"/>
      <c r="G192" s="1339"/>
    </row>
    <row r="193" spans="1:7" s="278" customFormat="1">
      <c r="A193" s="282">
        <v>4</v>
      </c>
      <c r="B193" s="310" t="s">
        <v>537</v>
      </c>
      <c r="C193" s="302">
        <v>500000</v>
      </c>
      <c r="D193" s="1339"/>
      <c r="E193" s="1339"/>
      <c r="F193" s="1339"/>
      <c r="G193" s="1339"/>
    </row>
    <row r="194" spans="1:7" s="278" customFormat="1" ht="21">
      <c r="A194" s="282"/>
      <c r="B194" s="283"/>
      <c r="C194" s="492"/>
      <c r="D194" s="1339"/>
      <c r="E194" s="1339"/>
      <c r="F194" s="1339"/>
      <c r="G194" s="1339"/>
    </row>
    <row r="195" spans="1:7" s="278" customFormat="1" ht="23.25" customHeight="1">
      <c r="A195" s="378">
        <v>2</v>
      </c>
      <c r="B195" s="427" t="s">
        <v>538</v>
      </c>
      <c r="C195" s="399"/>
      <c r="D195" s="1339"/>
      <c r="E195" s="1339"/>
      <c r="F195" s="1339"/>
      <c r="G195" s="1339"/>
    </row>
    <row r="196" spans="1:7" s="278" customFormat="1" ht="18" customHeight="1">
      <c r="A196" s="327"/>
      <c r="B196" s="379"/>
      <c r="C196" s="380" t="s">
        <v>1</v>
      </c>
      <c r="D196" s="1339"/>
      <c r="E196" s="1339"/>
      <c r="F196" s="1339"/>
      <c r="G196" s="1339"/>
    </row>
    <row r="197" spans="1:7" s="278" customFormat="1">
      <c r="A197" s="282">
        <v>1</v>
      </c>
      <c r="B197" s="278" t="s">
        <v>539</v>
      </c>
      <c r="C197" s="302">
        <v>42000</v>
      </c>
      <c r="D197" s="1339"/>
      <c r="E197" s="1339"/>
      <c r="F197" s="1339"/>
      <c r="G197" s="1339"/>
    </row>
    <row r="198" spans="1:7" s="278" customFormat="1">
      <c r="A198" s="282">
        <v>2</v>
      </c>
      <c r="B198" s="337" t="s">
        <v>540</v>
      </c>
      <c r="C198" s="302">
        <v>50000</v>
      </c>
      <c r="D198" s="1339"/>
      <c r="E198" s="1339"/>
      <c r="F198" s="1339"/>
      <c r="G198" s="1339"/>
    </row>
    <row r="199" spans="1:7" s="278" customFormat="1">
      <c r="A199" s="282">
        <v>3</v>
      </c>
      <c r="B199" s="278" t="s">
        <v>14</v>
      </c>
      <c r="C199" s="302">
        <v>25000</v>
      </c>
      <c r="D199" s="1339"/>
      <c r="E199" s="1339"/>
      <c r="F199" s="1339"/>
      <c r="G199" s="1339"/>
    </row>
    <row r="200" spans="1:7" s="278" customFormat="1">
      <c r="A200" s="282">
        <v>4</v>
      </c>
      <c r="B200" s="338" t="s">
        <v>541</v>
      </c>
      <c r="C200" s="302">
        <v>25000</v>
      </c>
      <c r="D200" s="1339"/>
      <c r="E200" s="1339"/>
      <c r="F200" s="1339"/>
      <c r="G200" s="1339"/>
    </row>
    <row r="201" spans="1:7" s="278" customFormat="1">
      <c r="A201" s="282">
        <v>5</v>
      </c>
      <c r="B201" s="338" t="s">
        <v>542</v>
      </c>
      <c r="C201" s="302">
        <v>125000</v>
      </c>
      <c r="D201" s="1339"/>
      <c r="E201" s="1339"/>
      <c r="F201" s="1339"/>
      <c r="G201" s="1339"/>
    </row>
    <row r="202" spans="1:7" s="278" customFormat="1">
      <c r="A202" s="282">
        <v>6</v>
      </c>
      <c r="B202" s="278" t="s">
        <v>543</v>
      </c>
      <c r="C202" s="302">
        <v>6000</v>
      </c>
      <c r="D202" s="1339"/>
      <c r="E202" s="1339"/>
      <c r="F202" s="1339"/>
      <c r="G202" s="1339"/>
    </row>
    <row r="203" spans="1:7" s="278" customFormat="1">
      <c r="A203" s="282">
        <v>7</v>
      </c>
      <c r="B203" s="278" t="s">
        <v>544</v>
      </c>
      <c r="C203" s="302">
        <v>12000</v>
      </c>
      <c r="D203" s="1339"/>
      <c r="E203" s="1339"/>
      <c r="F203" s="1339"/>
      <c r="G203" s="1339"/>
    </row>
    <row r="204" spans="1:7" s="278" customFormat="1">
      <c r="A204" s="282">
        <v>8</v>
      </c>
      <c r="B204" s="278" t="s">
        <v>545</v>
      </c>
      <c r="C204" s="302">
        <v>30000</v>
      </c>
      <c r="D204" s="1339"/>
      <c r="E204" s="1339"/>
      <c r="F204" s="1339"/>
      <c r="G204" s="1339"/>
    </row>
    <row r="205" spans="1:7" s="278" customFormat="1">
      <c r="A205" s="282">
        <v>9</v>
      </c>
      <c r="B205" s="278" t="s">
        <v>546</v>
      </c>
      <c r="C205" s="302">
        <v>25000</v>
      </c>
      <c r="D205" s="1339"/>
      <c r="E205" s="1339"/>
      <c r="F205" s="1339"/>
      <c r="G205" s="1339"/>
    </row>
    <row r="206" spans="1:7" s="278" customFormat="1">
      <c r="A206" s="282">
        <v>10</v>
      </c>
      <c r="B206" s="310" t="s">
        <v>547</v>
      </c>
      <c r="C206" s="302">
        <v>25000</v>
      </c>
      <c r="D206" s="1339"/>
      <c r="E206" s="1339"/>
      <c r="F206" s="1339"/>
      <c r="G206" s="1339"/>
    </row>
    <row r="207" spans="1:7" s="278" customFormat="1" ht="25.5" customHeight="1">
      <c r="A207" s="282"/>
      <c r="B207" s="285"/>
      <c r="C207" s="292">
        <f>SUM(C190:C206)</f>
        <v>1870000</v>
      </c>
      <c r="D207" s="1339"/>
      <c r="E207" s="1339"/>
      <c r="F207" s="1339"/>
      <c r="G207" s="1339"/>
    </row>
    <row r="208" spans="1:7" s="278" customFormat="1" ht="23.25" customHeight="1">
      <c r="A208" s="381"/>
      <c r="B208" s="421" t="s">
        <v>548</v>
      </c>
      <c r="C208" s="422"/>
      <c r="D208" s="1339"/>
      <c r="E208" s="1339"/>
      <c r="F208" s="1339"/>
      <c r="G208" s="1339"/>
    </row>
    <row r="209" spans="1:7" s="278" customFormat="1" ht="23.25" customHeight="1">
      <c r="A209" s="382"/>
      <c r="B209" s="359" t="s">
        <v>549</v>
      </c>
      <c r="C209" s="423"/>
      <c r="D209" s="1339"/>
      <c r="E209" s="1339"/>
      <c r="F209" s="1339"/>
      <c r="G209" s="1339"/>
    </row>
    <row r="210" spans="1:7" s="278" customFormat="1" ht="21">
      <c r="A210" s="420"/>
      <c r="B210" s="436" t="s">
        <v>506</v>
      </c>
      <c r="C210" s="511"/>
      <c r="D210" s="1339"/>
      <c r="E210" s="1339"/>
      <c r="F210" s="1339"/>
      <c r="G210" s="1339"/>
    </row>
    <row r="211" spans="1:7" s="278" customFormat="1" ht="21">
      <c r="A211" s="420"/>
      <c r="B211" s="608" t="s">
        <v>550</v>
      </c>
      <c r="C211" s="511"/>
      <c r="D211" s="1339"/>
      <c r="E211" s="1339"/>
      <c r="F211" s="1339"/>
      <c r="G211" s="1339"/>
    </row>
    <row r="212" spans="1:7" s="278" customFormat="1" ht="21">
      <c r="A212" s="385"/>
      <c r="B212" s="661" t="s">
        <v>551</v>
      </c>
      <c r="C212" s="662"/>
      <c r="D212" s="1339"/>
      <c r="E212" s="1339"/>
      <c r="F212" s="1339"/>
      <c r="G212" s="1339"/>
    </row>
    <row r="213" spans="1:7" s="278" customFormat="1" ht="21">
      <c r="A213" s="378">
        <v>1</v>
      </c>
      <c r="B213" s="427" t="s">
        <v>552</v>
      </c>
      <c r="C213" s="399"/>
      <c r="D213" s="1339"/>
      <c r="E213" s="1339"/>
      <c r="F213" s="1339"/>
      <c r="G213" s="1339"/>
    </row>
    <row r="214" spans="1:7" s="278" customFormat="1">
      <c r="A214" s="327"/>
      <c r="B214" s="379"/>
      <c r="C214" s="380" t="s">
        <v>1</v>
      </c>
      <c r="D214" s="1339"/>
      <c r="E214" s="1339"/>
      <c r="F214" s="1339"/>
      <c r="G214" s="1339"/>
    </row>
    <row r="215" spans="1:7" s="278" customFormat="1">
      <c r="A215" s="282">
        <v>1</v>
      </c>
      <c r="B215" s="278" t="s">
        <v>553</v>
      </c>
      <c r="C215" s="302">
        <v>16800</v>
      </c>
      <c r="D215" s="1339"/>
      <c r="E215" s="1339"/>
      <c r="F215" s="1339"/>
      <c r="G215" s="1339"/>
    </row>
    <row r="216" spans="1:7" s="278" customFormat="1">
      <c r="A216" s="282">
        <v>2</v>
      </c>
      <c r="B216" s="337" t="s">
        <v>554</v>
      </c>
      <c r="C216" s="302">
        <v>20000</v>
      </c>
      <c r="D216" s="1339"/>
      <c r="E216" s="1339"/>
      <c r="F216" s="1339"/>
      <c r="G216" s="1339"/>
    </row>
    <row r="217" spans="1:7" s="278" customFormat="1">
      <c r="A217" s="282">
        <v>3</v>
      </c>
      <c r="B217" s="278" t="s">
        <v>14</v>
      </c>
      <c r="C217" s="302">
        <v>10000</v>
      </c>
      <c r="D217" s="1339"/>
      <c r="E217" s="1339"/>
      <c r="F217" s="1339"/>
      <c r="G217" s="1339"/>
    </row>
    <row r="218" spans="1:7" s="278" customFormat="1">
      <c r="A218" s="282">
        <v>4</v>
      </c>
      <c r="B218" s="338" t="s">
        <v>555</v>
      </c>
      <c r="C218" s="302">
        <v>10000</v>
      </c>
      <c r="D218" s="1339"/>
      <c r="E218" s="1339"/>
      <c r="F218" s="1339"/>
      <c r="G218" s="1339"/>
    </row>
    <row r="219" spans="1:7" s="278" customFormat="1">
      <c r="A219" s="282">
        <v>5</v>
      </c>
      <c r="B219" s="338" t="s">
        <v>556</v>
      </c>
      <c r="C219" s="302">
        <v>50000</v>
      </c>
      <c r="D219" s="1339"/>
      <c r="E219" s="1339"/>
      <c r="F219" s="1339"/>
      <c r="G219" s="1339"/>
    </row>
    <row r="220" spans="1:7" s="278" customFormat="1">
      <c r="A220" s="282">
        <v>6</v>
      </c>
      <c r="B220" s="278" t="s">
        <v>557</v>
      </c>
      <c r="C220" s="302">
        <v>2400</v>
      </c>
      <c r="D220" s="1339"/>
      <c r="E220" s="1339"/>
      <c r="F220" s="1339"/>
      <c r="G220" s="1339"/>
    </row>
    <row r="221" spans="1:7" s="278" customFormat="1">
      <c r="A221" s="282">
        <v>7</v>
      </c>
      <c r="B221" s="278" t="s">
        <v>558</v>
      </c>
      <c r="C221" s="302">
        <v>2400</v>
      </c>
      <c r="D221" s="1339"/>
      <c r="E221" s="1339"/>
      <c r="F221" s="1339"/>
      <c r="G221" s="1339"/>
    </row>
    <row r="222" spans="1:7" s="278" customFormat="1">
      <c r="A222" s="282">
        <v>8</v>
      </c>
      <c r="B222" s="278" t="s">
        <v>559</v>
      </c>
      <c r="C222" s="302">
        <v>12000</v>
      </c>
      <c r="D222" s="1339"/>
      <c r="E222" s="1339"/>
      <c r="F222" s="1339"/>
      <c r="G222" s="1339"/>
    </row>
    <row r="223" spans="1:7" s="278" customFormat="1">
      <c r="A223" s="282">
        <v>9</v>
      </c>
      <c r="B223" s="310" t="s">
        <v>381</v>
      </c>
      <c r="C223" s="302">
        <v>10000</v>
      </c>
      <c r="D223" s="1339"/>
      <c r="E223" s="1339"/>
      <c r="F223" s="1339"/>
      <c r="G223" s="1339"/>
    </row>
    <row r="224" spans="1:7" s="278" customFormat="1" ht="21">
      <c r="A224" s="378">
        <v>2</v>
      </c>
      <c r="B224" s="427" t="s">
        <v>560</v>
      </c>
      <c r="C224" s="399"/>
      <c r="D224" s="1339"/>
      <c r="E224" s="1339"/>
      <c r="F224" s="1339"/>
      <c r="G224" s="1339"/>
    </row>
    <row r="225" spans="1:7" s="278" customFormat="1">
      <c r="A225" s="327"/>
      <c r="B225" s="379"/>
      <c r="C225" s="380" t="s">
        <v>1</v>
      </c>
      <c r="D225" s="1339"/>
      <c r="E225" s="1339"/>
      <c r="F225" s="1339"/>
      <c r="G225" s="1339"/>
    </row>
    <row r="226" spans="1:7" s="278" customFormat="1">
      <c r="A226" s="282">
        <v>1</v>
      </c>
      <c r="B226" s="278" t="s">
        <v>561</v>
      </c>
      <c r="C226" s="302">
        <v>4800</v>
      </c>
      <c r="D226" s="1339"/>
      <c r="E226" s="1339"/>
      <c r="F226" s="1339"/>
      <c r="G226" s="1339"/>
    </row>
    <row r="227" spans="1:7" s="278" customFormat="1">
      <c r="A227" s="282">
        <v>2</v>
      </c>
      <c r="B227" s="278" t="s">
        <v>562</v>
      </c>
      <c r="C227" s="302">
        <v>12000</v>
      </c>
      <c r="D227" s="1339"/>
      <c r="E227" s="1339"/>
      <c r="F227" s="1339"/>
      <c r="G227" s="1339"/>
    </row>
    <row r="228" spans="1:7" s="278" customFormat="1">
      <c r="A228" s="282">
        <v>3</v>
      </c>
      <c r="B228" s="310" t="s">
        <v>369</v>
      </c>
      <c r="C228" s="302">
        <v>10000</v>
      </c>
      <c r="D228" s="1339"/>
      <c r="E228" s="1339"/>
      <c r="F228" s="1339"/>
      <c r="G228" s="1339"/>
    </row>
    <row r="229" spans="1:7" s="278" customFormat="1" ht="24.75" customHeight="1">
      <c r="A229" s="282"/>
      <c r="B229" s="283"/>
      <c r="C229" s="292">
        <f>SUM(C215:C228)</f>
        <v>160400</v>
      </c>
      <c r="D229" s="1339"/>
      <c r="E229" s="1339"/>
      <c r="F229" s="1339"/>
      <c r="G229" s="1339"/>
    </row>
    <row r="230" spans="1:7" s="278" customFormat="1" ht="21">
      <c r="A230" s="629"/>
      <c r="B230" s="632" t="s">
        <v>563</v>
      </c>
      <c r="C230" s="633"/>
      <c r="D230" s="1339"/>
      <c r="E230" s="1339"/>
      <c r="F230" s="1339"/>
      <c r="G230" s="1339"/>
    </row>
    <row r="231" spans="1:7" s="278" customFormat="1" ht="21">
      <c r="A231" s="475"/>
      <c r="B231" s="655" t="s">
        <v>506</v>
      </c>
      <c r="C231" s="656"/>
      <c r="D231" s="1339"/>
      <c r="E231" s="1339"/>
      <c r="F231" s="1339"/>
      <c r="G231" s="1339"/>
    </row>
    <row r="232" spans="1:7" s="278" customFormat="1" ht="21">
      <c r="A232" s="282"/>
      <c r="B232" s="283" t="s">
        <v>564</v>
      </c>
      <c r="C232" s="634"/>
      <c r="D232" s="1339"/>
      <c r="E232" s="1339"/>
      <c r="F232" s="1339"/>
      <c r="G232" s="1339"/>
    </row>
    <row r="233" spans="1:7" s="278" customFormat="1" ht="21">
      <c r="A233" s="462"/>
      <c r="B233" s="493" t="s">
        <v>565</v>
      </c>
      <c r="C233" s="657"/>
      <c r="D233" s="1339"/>
      <c r="E233" s="1339"/>
      <c r="F233" s="1339"/>
      <c r="G233" s="1339"/>
    </row>
    <row r="234" spans="1:7" s="278" customFormat="1">
      <c r="A234" s="629">
        <v>1</v>
      </c>
      <c r="B234" s="658" t="s">
        <v>566</v>
      </c>
      <c r="C234" s="635"/>
      <c r="D234" s="1339"/>
      <c r="E234" s="1339"/>
      <c r="F234" s="1339"/>
      <c r="G234" s="1339"/>
    </row>
    <row r="235" spans="1:7" s="278" customFormat="1">
      <c r="A235" s="459"/>
      <c r="B235" s="659"/>
      <c r="C235" s="612" t="s">
        <v>1</v>
      </c>
      <c r="D235" s="1339"/>
      <c r="E235" s="1339"/>
      <c r="F235" s="1339"/>
      <c r="G235" s="1339"/>
    </row>
    <row r="236" spans="1:7" s="278" customFormat="1">
      <c r="A236" s="282">
        <v>1</v>
      </c>
      <c r="B236" s="278" t="s">
        <v>33</v>
      </c>
      <c r="C236" s="302">
        <v>25200</v>
      </c>
      <c r="D236" s="1339"/>
      <c r="E236" s="1339"/>
      <c r="F236" s="1339"/>
      <c r="G236" s="1339"/>
    </row>
    <row r="237" spans="1:7" s="278" customFormat="1">
      <c r="A237" s="282">
        <v>2</v>
      </c>
      <c r="B237" s="337" t="s">
        <v>567</v>
      </c>
      <c r="C237" s="302">
        <v>30000</v>
      </c>
      <c r="D237" s="1339"/>
      <c r="E237" s="1339"/>
      <c r="F237" s="1339"/>
      <c r="G237" s="1339"/>
    </row>
    <row r="238" spans="1:7" s="278" customFormat="1">
      <c r="A238" s="282">
        <v>3</v>
      </c>
      <c r="B238" s="278" t="s">
        <v>14</v>
      </c>
      <c r="C238" s="302">
        <v>15000</v>
      </c>
      <c r="D238" s="1339"/>
      <c r="E238" s="1339"/>
      <c r="F238" s="1339"/>
      <c r="G238" s="1339"/>
    </row>
    <row r="239" spans="1:7" s="278" customFormat="1">
      <c r="A239" s="282">
        <v>4</v>
      </c>
      <c r="B239" s="338" t="s">
        <v>568</v>
      </c>
      <c r="C239" s="302">
        <v>15000</v>
      </c>
      <c r="D239" s="1339"/>
      <c r="E239" s="1339"/>
      <c r="F239" s="1339"/>
      <c r="G239" s="1339"/>
    </row>
    <row r="240" spans="1:7" s="278" customFormat="1">
      <c r="A240" s="282">
        <v>5</v>
      </c>
      <c r="B240" s="338" t="s">
        <v>569</v>
      </c>
      <c r="C240" s="302">
        <v>75000</v>
      </c>
      <c r="D240" s="1339"/>
      <c r="E240" s="1339"/>
      <c r="F240" s="1339"/>
      <c r="G240" s="1339"/>
    </row>
    <row r="241" spans="1:7" s="278" customFormat="1">
      <c r="A241" s="282">
        <v>6</v>
      </c>
      <c r="B241" s="278" t="s">
        <v>570</v>
      </c>
      <c r="C241" s="302">
        <v>3600</v>
      </c>
      <c r="D241" s="1339"/>
      <c r="E241" s="1339"/>
      <c r="F241" s="1339"/>
      <c r="G241" s="1339"/>
    </row>
    <row r="242" spans="1:7" s="278" customFormat="1">
      <c r="A242" s="282">
        <v>7</v>
      </c>
      <c r="B242" s="278" t="s">
        <v>571</v>
      </c>
      <c r="C242" s="302">
        <v>7200</v>
      </c>
      <c r="D242" s="1339"/>
      <c r="E242" s="1339"/>
      <c r="F242" s="1339"/>
      <c r="G242" s="1339"/>
    </row>
    <row r="243" spans="1:7" s="278" customFormat="1">
      <c r="A243" s="282">
        <v>8</v>
      </c>
      <c r="B243" s="278" t="s">
        <v>572</v>
      </c>
      <c r="C243" s="302">
        <v>18000</v>
      </c>
      <c r="D243" s="1339"/>
      <c r="E243" s="1339"/>
      <c r="F243" s="1339"/>
      <c r="G243" s="1339"/>
    </row>
    <row r="244" spans="1:7" s="278" customFormat="1">
      <c r="A244" s="462">
        <v>9</v>
      </c>
      <c r="B244" s="473" t="s">
        <v>573</v>
      </c>
      <c r="C244" s="333">
        <v>15000</v>
      </c>
      <c r="D244" s="1339"/>
      <c r="E244" s="1339"/>
      <c r="F244" s="1339"/>
      <c r="G244" s="1339"/>
    </row>
    <row r="245" spans="1:7" s="278" customFormat="1" ht="21">
      <c r="A245" s="629">
        <v>2</v>
      </c>
      <c r="B245" s="632" t="s">
        <v>574</v>
      </c>
      <c r="C245" s="633"/>
      <c r="D245" s="1339"/>
      <c r="E245" s="1339"/>
      <c r="F245" s="1339"/>
      <c r="G245" s="1339"/>
    </row>
    <row r="246" spans="1:7" s="278" customFormat="1">
      <c r="A246" s="327"/>
      <c r="B246" s="288"/>
      <c r="C246" s="329" t="s">
        <v>1</v>
      </c>
      <c r="D246" s="1339"/>
      <c r="E246" s="1339"/>
      <c r="F246" s="1339"/>
      <c r="G246" s="1339"/>
    </row>
    <row r="247" spans="1:7" s="278" customFormat="1">
      <c r="A247" s="282">
        <v>1</v>
      </c>
      <c r="B247" s="278" t="s">
        <v>33</v>
      </c>
      <c r="C247" s="302">
        <v>25200</v>
      </c>
      <c r="D247" s="1339"/>
      <c r="E247" s="1339"/>
      <c r="F247" s="1339"/>
      <c r="G247" s="1339"/>
    </row>
    <row r="248" spans="1:7" s="278" customFormat="1">
      <c r="A248" s="282">
        <v>2</v>
      </c>
      <c r="B248" s="337" t="s">
        <v>567</v>
      </c>
      <c r="C248" s="302">
        <v>30000</v>
      </c>
      <c r="D248" s="1339"/>
      <c r="E248" s="1339"/>
      <c r="F248" s="1339"/>
      <c r="G248" s="1339"/>
    </row>
    <row r="249" spans="1:7" s="278" customFormat="1">
      <c r="A249" s="282">
        <v>3</v>
      </c>
      <c r="B249" s="278" t="s">
        <v>14</v>
      </c>
      <c r="C249" s="302">
        <v>15000</v>
      </c>
      <c r="D249" s="1339"/>
      <c r="E249" s="1339"/>
      <c r="F249" s="1339"/>
      <c r="G249" s="1339"/>
    </row>
    <row r="250" spans="1:7" s="278" customFormat="1">
      <c r="A250" s="282">
        <v>4</v>
      </c>
      <c r="B250" s="338" t="s">
        <v>568</v>
      </c>
      <c r="C250" s="302">
        <v>15000</v>
      </c>
      <c r="D250" s="1339"/>
      <c r="E250" s="1339"/>
      <c r="F250" s="1339"/>
      <c r="G250" s="1339"/>
    </row>
    <row r="251" spans="1:7" s="278" customFormat="1">
      <c r="A251" s="282">
        <v>5</v>
      </c>
      <c r="B251" s="338" t="s">
        <v>569</v>
      </c>
      <c r="C251" s="302">
        <v>75000</v>
      </c>
      <c r="D251" s="1339"/>
      <c r="E251" s="1339"/>
      <c r="F251" s="1339"/>
      <c r="G251" s="1339"/>
    </row>
    <row r="252" spans="1:7" s="278" customFormat="1">
      <c r="A252" s="282">
        <v>6</v>
      </c>
      <c r="B252" s="338" t="s">
        <v>571</v>
      </c>
      <c r="C252" s="302">
        <v>7200</v>
      </c>
      <c r="D252" s="1339"/>
      <c r="E252" s="1339"/>
      <c r="F252" s="1339"/>
      <c r="G252" s="1339"/>
    </row>
    <row r="253" spans="1:7" s="278" customFormat="1">
      <c r="A253" s="282">
        <v>7</v>
      </c>
      <c r="B253" s="278" t="s">
        <v>570</v>
      </c>
      <c r="C253" s="302">
        <v>3600</v>
      </c>
      <c r="D253" s="1339"/>
      <c r="E253" s="1339"/>
      <c r="F253" s="1339"/>
      <c r="G253" s="1339"/>
    </row>
    <row r="254" spans="1:7" s="278" customFormat="1">
      <c r="A254" s="282">
        <v>8</v>
      </c>
      <c r="B254" s="278" t="s">
        <v>572</v>
      </c>
      <c r="C254" s="302">
        <v>18000</v>
      </c>
      <c r="D254" s="1339"/>
      <c r="E254" s="1339"/>
      <c r="F254" s="1339"/>
      <c r="G254" s="1339"/>
    </row>
    <row r="255" spans="1:7" s="278" customFormat="1">
      <c r="A255" s="282">
        <v>9</v>
      </c>
      <c r="B255" s="310" t="s">
        <v>573</v>
      </c>
      <c r="C255" s="302">
        <v>15000</v>
      </c>
      <c r="D255" s="1339"/>
      <c r="E255" s="1339"/>
      <c r="F255" s="1339"/>
      <c r="G255" s="1339"/>
    </row>
    <row r="256" spans="1:7" s="278" customFormat="1" ht="25.5" customHeight="1">
      <c r="A256" s="282"/>
      <c r="B256" s="285"/>
      <c r="C256" s="636">
        <f>SUM(C235:C255)</f>
        <v>408000</v>
      </c>
      <c r="D256" s="1339"/>
      <c r="E256" s="1339"/>
      <c r="F256" s="1339"/>
      <c r="G256" s="1339"/>
    </row>
    <row r="257" spans="1:7" s="278" customFormat="1" ht="41.25" customHeight="1">
      <c r="A257" s="378"/>
      <c r="B257" s="1464" t="s">
        <v>1010</v>
      </c>
      <c r="C257" s="1465"/>
      <c r="D257" s="1339"/>
      <c r="E257" s="1339"/>
      <c r="F257" s="1339"/>
      <c r="G257" s="1339"/>
    </row>
    <row r="258" spans="1:7" s="278" customFormat="1" ht="19.5" customHeight="1">
      <c r="A258" s="459"/>
      <c r="B258" s="619" t="s">
        <v>506</v>
      </c>
      <c r="C258" s="660"/>
      <c r="D258" s="1339"/>
      <c r="E258" s="1339"/>
      <c r="F258" s="1339"/>
      <c r="G258" s="1339"/>
    </row>
    <row r="259" spans="1:7" s="278" customFormat="1" ht="35.25" customHeight="1">
      <c r="A259" s="327"/>
      <c r="B259" s="1466" t="s">
        <v>1011</v>
      </c>
      <c r="C259" s="1467"/>
      <c r="D259" s="1339"/>
      <c r="E259" s="1339"/>
      <c r="F259" s="1339"/>
      <c r="G259" s="1339"/>
    </row>
    <row r="260" spans="1:7" s="278" customFormat="1" ht="39.75" customHeight="1">
      <c r="A260" s="462"/>
      <c r="B260" s="1468" t="s">
        <v>575</v>
      </c>
      <c r="C260" s="1469"/>
      <c r="D260" s="1339"/>
      <c r="E260" s="1339"/>
      <c r="F260" s="1339"/>
      <c r="G260" s="1339"/>
    </row>
    <row r="261" spans="1:7" s="278" customFormat="1" ht="37.5" customHeight="1">
      <c r="A261" s="378">
        <v>1</v>
      </c>
      <c r="B261" s="1462" t="s">
        <v>1012</v>
      </c>
      <c r="C261" s="1463"/>
      <c r="D261" s="1339"/>
      <c r="E261" s="1339"/>
      <c r="F261" s="1339"/>
      <c r="G261" s="1339"/>
    </row>
    <row r="262" spans="1:7" s="278" customFormat="1">
      <c r="A262" s="327"/>
      <c r="B262" s="379"/>
      <c r="C262" s="628" t="s">
        <v>1</v>
      </c>
      <c r="D262" s="1339"/>
      <c r="E262" s="1339"/>
      <c r="F262" s="1339"/>
      <c r="G262" s="1339"/>
    </row>
    <row r="263" spans="1:7" s="278" customFormat="1">
      <c r="A263" s="327">
        <v>1.1000000000000001</v>
      </c>
      <c r="B263" s="379" t="s">
        <v>576</v>
      </c>
      <c r="C263" s="628"/>
      <c r="D263" s="1339"/>
      <c r="E263" s="1339"/>
      <c r="F263" s="1339"/>
      <c r="G263" s="1339"/>
    </row>
    <row r="264" spans="1:7" s="278" customFormat="1">
      <c r="A264" s="327"/>
      <c r="B264" s="379" t="s">
        <v>494</v>
      </c>
      <c r="C264" s="628"/>
      <c r="D264" s="1339"/>
      <c r="E264" s="1339"/>
      <c r="F264" s="1339"/>
      <c r="G264" s="1339"/>
    </row>
    <row r="265" spans="1:7" s="278" customFormat="1">
      <c r="A265" s="327"/>
      <c r="B265" s="400" t="s">
        <v>448</v>
      </c>
      <c r="C265" s="639"/>
      <c r="D265" s="1339"/>
      <c r="E265" s="1339"/>
      <c r="F265" s="1339"/>
      <c r="G265" s="1339"/>
    </row>
    <row r="266" spans="1:7" s="278" customFormat="1">
      <c r="A266" s="327">
        <v>1</v>
      </c>
      <c r="B266" s="288" t="s">
        <v>577</v>
      </c>
      <c r="C266" s="330">
        <v>30000</v>
      </c>
      <c r="D266" s="1339"/>
      <c r="E266" s="1339"/>
      <c r="F266" s="1339"/>
      <c r="G266" s="1339"/>
    </row>
    <row r="267" spans="1:7" s="278" customFormat="1">
      <c r="A267" s="327">
        <v>2</v>
      </c>
      <c r="B267" s="288" t="s">
        <v>578</v>
      </c>
      <c r="C267" s="330">
        <v>12000</v>
      </c>
      <c r="D267" s="1339"/>
      <c r="E267" s="1339"/>
      <c r="F267" s="1339"/>
      <c r="G267" s="1339"/>
    </row>
    <row r="268" spans="1:7" s="278" customFormat="1">
      <c r="A268" s="327">
        <v>3</v>
      </c>
      <c r="B268" s="288" t="s">
        <v>579</v>
      </c>
      <c r="C268" s="330">
        <v>21000</v>
      </c>
      <c r="D268" s="1339"/>
      <c r="E268" s="1339"/>
      <c r="F268" s="1339"/>
      <c r="G268" s="1339"/>
    </row>
    <row r="269" spans="1:7" s="278" customFormat="1">
      <c r="A269" s="403">
        <v>4</v>
      </c>
      <c r="B269" s="404" t="s">
        <v>580</v>
      </c>
      <c r="C269" s="330">
        <v>120000</v>
      </c>
      <c r="D269" s="1339"/>
      <c r="E269" s="1339"/>
      <c r="F269" s="1339"/>
      <c r="G269" s="1339"/>
    </row>
    <row r="270" spans="1:7" s="278" customFormat="1" ht="21">
      <c r="A270" s="282"/>
      <c r="B270" s="405" t="s">
        <v>581</v>
      </c>
      <c r="C270" s="640"/>
      <c r="D270" s="1339"/>
      <c r="E270" s="1339"/>
      <c r="F270" s="1339"/>
      <c r="G270" s="1339"/>
    </row>
    <row r="271" spans="1:7" s="278" customFormat="1">
      <c r="A271" s="403">
        <v>1</v>
      </c>
      <c r="B271" s="404" t="s">
        <v>582</v>
      </c>
      <c r="C271" s="330">
        <v>120000</v>
      </c>
      <c r="D271" s="1339"/>
      <c r="E271" s="1339"/>
      <c r="F271" s="1339"/>
      <c r="G271" s="1339"/>
    </row>
    <row r="272" spans="1:7" s="278" customFormat="1">
      <c r="A272" s="403">
        <v>2</v>
      </c>
      <c r="B272" s="404" t="s">
        <v>580</v>
      </c>
      <c r="C272" s="330">
        <v>120000</v>
      </c>
      <c r="D272" s="1339"/>
      <c r="E272" s="1339"/>
      <c r="F272" s="1339"/>
      <c r="G272" s="1339"/>
    </row>
    <row r="273" spans="1:7" s="278" customFormat="1">
      <c r="A273" s="403">
        <v>3</v>
      </c>
      <c r="B273" s="408" t="s">
        <v>583</v>
      </c>
      <c r="C273" s="302">
        <v>11520</v>
      </c>
      <c r="D273" s="1339"/>
      <c r="E273" s="1339"/>
      <c r="F273" s="1339"/>
      <c r="G273" s="1339"/>
    </row>
    <row r="274" spans="1:7" s="278" customFormat="1">
      <c r="A274" s="403">
        <v>4</v>
      </c>
      <c r="B274" s="408" t="s">
        <v>584</v>
      </c>
      <c r="C274" s="302">
        <v>28800</v>
      </c>
      <c r="D274" s="1339"/>
      <c r="E274" s="1339"/>
      <c r="F274" s="1339"/>
      <c r="G274" s="1339"/>
    </row>
    <row r="275" spans="1:7" s="314" customFormat="1">
      <c r="A275" s="403">
        <v>6</v>
      </c>
      <c r="B275" s="409" t="s">
        <v>585</v>
      </c>
      <c r="C275" s="302">
        <v>30000</v>
      </c>
      <c r="D275" s="1339"/>
      <c r="E275" s="1339"/>
      <c r="F275" s="1343"/>
      <c r="G275" s="1343"/>
    </row>
    <row r="276" spans="1:7" s="278" customFormat="1">
      <c r="A276" s="327"/>
      <c r="B276" s="400" t="s">
        <v>586</v>
      </c>
      <c r="C276" s="641"/>
      <c r="D276" s="1339"/>
      <c r="E276" s="1339"/>
      <c r="F276" s="1339"/>
      <c r="G276" s="1339"/>
    </row>
    <row r="277" spans="1:7" s="278" customFormat="1">
      <c r="A277" s="403">
        <v>2</v>
      </c>
      <c r="B277" s="404" t="s">
        <v>587</v>
      </c>
      <c r="C277" s="332">
        <v>1200</v>
      </c>
      <c r="D277" s="1339"/>
      <c r="E277" s="1339"/>
      <c r="F277" s="1339"/>
      <c r="G277" s="1339"/>
    </row>
    <row r="278" spans="1:7" s="278" customFormat="1">
      <c r="A278" s="403">
        <v>3</v>
      </c>
      <c r="B278" s="408" t="s">
        <v>583</v>
      </c>
      <c r="C278" s="302">
        <v>11520</v>
      </c>
      <c r="D278" s="1339"/>
      <c r="E278" s="1339"/>
      <c r="F278" s="1339"/>
      <c r="G278" s="1339"/>
    </row>
    <row r="279" spans="1:7" s="278" customFormat="1">
      <c r="A279" s="327">
        <v>4</v>
      </c>
      <c r="B279" s="278" t="s">
        <v>584</v>
      </c>
      <c r="C279" s="302">
        <v>28800</v>
      </c>
      <c r="D279" s="1339"/>
      <c r="E279" s="1339"/>
      <c r="F279" s="1339"/>
      <c r="G279" s="1339"/>
    </row>
    <row r="280" spans="1:7" s="314" customFormat="1">
      <c r="A280" s="327">
        <v>6</v>
      </c>
      <c r="B280" s="310" t="s">
        <v>585</v>
      </c>
      <c r="C280" s="302">
        <v>30000</v>
      </c>
      <c r="D280" s="1339"/>
      <c r="E280" s="1339"/>
      <c r="F280" s="1343"/>
      <c r="G280" s="1343"/>
    </row>
    <row r="281" spans="1:7" s="278" customFormat="1" ht="40.5" customHeight="1">
      <c r="A281" s="378">
        <v>2</v>
      </c>
      <c r="B281" s="1462" t="s">
        <v>588</v>
      </c>
      <c r="C281" s="1463"/>
      <c r="D281" s="1339"/>
      <c r="E281" s="1339"/>
      <c r="F281" s="1339"/>
      <c r="G281" s="1339"/>
    </row>
    <row r="282" spans="1:7" s="278" customFormat="1">
      <c r="A282" s="282">
        <v>1</v>
      </c>
      <c r="B282" s="278" t="s">
        <v>589</v>
      </c>
      <c r="C282" s="302">
        <v>50400</v>
      </c>
      <c r="D282" s="1339"/>
      <c r="E282" s="1339"/>
      <c r="F282" s="1339"/>
      <c r="G282" s="1339"/>
    </row>
    <row r="283" spans="1:7" s="278" customFormat="1">
      <c r="A283" s="282">
        <v>2</v>
      </c>
      <c r="B283" s="337" t="s">
        <v>590</v>
      </c>
      <c r="C283" s="302">
        <v>60000</v>
      </c>
      <c r="D283" s="1339"/>
      <c r="E283" s="1339"/>
      <c r="F283" s="1339"/>
      <c r="G283" s="1339"/>
    </row>
    <row r="284" spans="1:7" s="278" customFormat="1">
      <c r="A284" s="282">
        <v>3</v>
      </c>
      <c r="B284" s="278" t="s">
        <v>14</v>
      </c>
      <c r="C284" s="302">
        <v>30000</v>
      </c>
      <c r="D284" s="1339"/>
      <c r="E284" s="1339"/>
      <c r="F284" s="1339"/>
      <c r="G284" s="1339"/>
    </row>
    <row r="285" spans="1:7" s="278" customFormat="1">
      <c r="A285" s="462">
        <v>4</v>
      </c>
      <c r="B285" s="679" t="s">
        <v>591</v>
      </c>
      <c r="C285" s="333">
        <v>30000</v>
      </c>
      <c r="D285" s="1339"/>
      <c r="E285" s="1339"/>
      <c r="F285" s="1339"/>
      <c r="G285" s="1339"/>
    </row>
    <row r="286" spans="1:7" s="278" customFormat="1">
      <c r="A286" s="475">
        <v>5</v>
      </c>
      <c r="B286" s="680" t="s">
        <v>592</v>
      </c>
      <c r="C286" s="477">
        <v>150000</v>
      </c>
      <c r="D286" s="1339"/>
      <c r="E286" s="1339"/>
      <c r="F286" s="1339"/>
      <c r="G286" s="1339"/>
    </row>
    <row r="287" spans="1:7" s="278" customFormat="1">
      <c r="A287" s="282">
        <v>6</v>
      </c>
      <c r="B287" s="278" t="s">
        <v>593</v>
      </c>
      <c r="C287" s="302">
        <v>7200</v>
      </c>
      <c r="D287" s="1339"/>
      <c r="E287" s="1339"/>
      <c r="F287" s="1339"/>
      <c r="G287" s="1339"/>
    </row>
    <row r="288" spans="1:7" s="278" customFormat="1">
      <c r="A288" s="282">
        <v>7</v>
      </c>
      <c r="B288" s="278" t="s">
        <v>594</v>
      </c>
      <c r="C288" s="302">
        <v>14400</v>
      </c>
      <c r="D288" s="1339"/>
      <c r="E288" s="1339"/>
      <c r="F288" s="1339"/>
      <c r="G288" s="1339"/>
    </row>
    <row r="289" spans="1:7" s="278" customFormat="1">
      <c r="A289" s="282">
        <v>8</v>
      </c>
      <c r="B289" s="278" t="s">
        <v>595</v>
      </c>
      <c r="C289" s="302">
        <v>36000</v>
      </c>
      <c r="D289" s="1339"/>
      <c r="E289" s="1339"/>
      <c r="F289" s="1339"/>
      <c r="G289" s="1339"/>
    </row>
    <row r="290" spans="1:7" s="278" customFormat="1">
      <c r="A290" s="282">
        <v>9</v>
      </c>
      <c r="B290" s="310" t="s">
        <v>585</v>
      </c>
      <c r="C290" s="302">
        <v>30000</v>
      </c>
      <c r="D290" s="1339"/>
      <c r="E290" s="1339"/>
      <c r="F290" s="1339"/>
      <c r="G290" s="1339"/>
    </row>
    <row r="291" spans="1:7" s="278" customFormat="1" ht="27" customHeight="1">
      <c r="A291" s="327"/>
      <c r="B291" s="379"/>
      <c r="C291" s="642">
        <f>SUM(C266:C290)</f>
        <v>972840</v>
      </c>
      <c r="D291" s="1339"/>
      <c r="E291" s="1339"/>
      <c r="F291" s="1339"/>
      <c r="G291" s="1339"/>
    </row>
    <row r="292" spans="1:7" s="278" customFormat="1" ht="23.25" customHeight="1">
      <c r="A292" s="629"/>
      <c r="B292" s="427" t="s">
        <v>596</v>
      </c>
      <c r="C292" s="399"/>
      <c r="D292" s="1339"/>
      <c r="E292" s="1339"/>
      <c r="F292" s="1339"/>
      <c r="G292" s="1339"/>
    </row>
    <row r="293" spans="1:7" s="278" customFormat="1" ht="23.25" customHeight="1">
      <c r="A293" s="475"/>
      <c r="B293" s="663" t="s">
        <v>506</v>
      </c>
      <c r="C293" s="664"/>
      <c r="D293" s="1339"/>
      <c r="E293" s="1339"/>
      <c r="F293" s="1339"/>
      <c r="G293" s="1339"/>
    </row>
    <row r="294" spans="1:7" s="278" customFormat="1" ht="23.25" customHeight="1">
      <c r="A294" s="282"/>
      <c r="B294" s="608" t="s">
        <v>597</v>
      </c>
      <c r="C294" s="511"/>
      <c r="D294" s="1339"/>
      <c r="E294" s="1339"/>
      <c r="F294" s="1339"/>
      <c r="G294" s="1339"/>
    </row>
    <row r="295" spans="1:7" s="278" customFormat="1" ht="23.25" customHeight="1">
      <c r="A295" s="282"/>
      <c r="B295" s="608" t="s">
        <v>598</v>
      </c>
      <c r="C295" s="511"/>
      <c r="D295" s="1339"/>
      <c r="E295" s="1339"/>
      <c r="F295" s="1339"/>
      <c r="G295" s="1339"/>
    </row>
    <row r="296" spans="1:7" s="278" customFormat="1" ht="23.25" customHeight="1">
      <c r="A296" s="462"/>
      <c r="B296" s="661" t="s">
        <v>599</v>
      </c>
      <c r="C296" s="662"/>
      <c r="D296" s="1339"/>
      <c r="E296" s="1339"/>
      <c r="F296" s="1339"/>
      <c r="G296" s="1339"/>
    </row>
    <row r="297" spans="1:7" s="278" customFormat="1">
      <c r="A297" s="378">
        <v>1</v>
      </c>
      <c r="B297" s="427" t="s">
        <v>600</v>
      </c>
      <c r="C297" s="627"/>
      <c r="D297" s="1339"/>
      <c r="E297" s="1339"/>
      <c r="F297" s="1339"/>
      <c r="G297" s="1339"/>
    </row>
    <row r="298" spans="1:7" s="278" customFormat="1">
      <c r="A298" s="327"/>
      <c r="B298" s="379"/>
      <c r="C298" s="380" t="s">
        <v>1</v>
      </c>
      <c r="D298" s="1339"/>
      <c r="E298" s="1339"/>
      <c r="F298" s="1339"/>
      <c r="G298" s="1339"/>
    </row>
    <row r="299" spans="1:7" s="278" customFormat="1">
      <c r="A299" s="327"/>
      <c r="B299" s="665" t="s">
        <v>448</v>
      </c>
      <c r="C299" s="639"/>
      <c r="D299" s="1339"/>
      <c r="E299" s="1339"/>
      <c r="F299" s="1339"/>
      <c r="G299" s="1339"/>
    </row>
    <row r="300" spans="1:7" s="278" customFormat="1">
      <c r="A300" s="327">
        <v>1</v>
      </c>
      <c r="B300" s="666" t="s">
        <v>601</v>
      </c>
      <c r="C300" s="330">
        <v>10000</v>
      </c>
      <c r="D300" s="1339"/>
      <c r="E300" s="1339"/>
      <c r="F300" s="1339"/>
      <c r="G300" s="1339"/>
    </row>
    <row r="301" spans="1:7" s="278" customFormat="1">
      <c r="A301" s="327">
        <v>2</v>
      </c>
      <c r="B301" s="666" t="s">
        <v>602</v>
      </c>
      <c r="C301" s="330">
        <v>2000</v>
      </c>
      <c r="D301" s="1339"/>
      <c r="E301" s="1339"/>
      <c r="F301" s="1339"/>
      <c r="G301" s="1339"/>
    </row>
    <row r="302" spans="1:7" s="278" customFormat="1">
      <c r="A302" s="327">
        <v>3</v>
      </c>
      <c r="B302" s="666" t="s">
        <v>603</v>
      </c>
      <c r="C302" s="330">
        <v>3500</v>
      </c>
      <c r="D302" s="1339"/>
      <c r="E302" s="1339"/>
      <c r="F302" s="1339"/>
      <c r="G302" s="1339"/>
    </row>
    <row r="303" spans="1:7" s="278" customFormat="1">
      <c r="A303" s="403">
        <v>4</v>
      </c>
      <c r="B303" s="666" t="s">
        <v>604</v>
      </c>
      <c r="C303" s="330">
        <v>100000</v>
      </c>
      <c r="D303" s="1339"/>
      <c r="E303" s="1339"/>
      <c r="F303" s="1339"/>
      <c r="G303" s="1339"/>
    </row>
    <row r="304" spans="1:7" s="278" customFormat="1" ht="21">
      <c r="A304" s="282"/>
      <c r="B304" s="667" t="s">
        <v>581</v>
      </c>
      <c r="C304" s="640"/>
      <c r="D304" s="1339"/>
      <c r="E304" s="1339"/>
      <c r="F304" s="1339"/>
      <c r="G304" s="1339"/>
    </row>
    <row r="305" spans="1:7" s="278" customFormat="1">
      <c r="A305" s="403">
        <v>1</v>
      </c>
      <c r="B305" s="670" t="s">
        <v>605</v>
      </c>
      <c r="C305" s="402">
        <v>20000</v>
      </c>
      <c r="D305" s="1339"/>
      <c r="E305" s="1339"/>
      <c r="F305" s="1339"/>
      <c r="G305" s="1339"/>
    </row>
    <row r="306" spans="1:7" s="278" customFormat="1">
      <c r="A306" s="403">
        <v>2</v>
      </c>
      <c r="B306" s="666" t="s">
        <v>604</v>
      </c>
      <c r="C306" s="330">
        <v>100000</v>
      </c>
      <c r="D306" s="1339"/>
      <c r="E306" s="1339"/>
      <c r="F306" s="1339"/>
      <c r="G306" s="1339"/>
    </row>
    <row r="307" spans="1:7" s="278" customFormat="1">
      <c r="A307" s="403">
        <v>3</v>
      </c>
      <c r="B307" s="668" t="s">
        <v>606</v>
      </c>
      <c r="C307" s="302">
        <v>1920</v>
      </c>
      <c r="D307" s="1339"/>
      <c r="E307" s="1339"/>
      <c r="F307" s="1339"/>
      <c r="G307" s="1339"/>
    </row>
    <row r="308" spans="1:7" s="278" customFormat="1">
      <c r="A308" s="403">
        <v>4</v>
      </c>
      <c r="B308" s="668" t="s">
        <v>607</v>
      </c>
      <c r="C308" s="302">
        <v>4800</v>
      </c>
      <c r="D308" s="1339"/>
      <c r="E308" s="1339"/>
      <c r="F308" s="1339"/>
      <c r="G308" s="1339"/>
    </row>
    <row r="309" spans="1:7" s="314" customFormat="1">
      <c r="A309" s="403">
        <v>6</v>
      </c>
      <c r="B309" s="669" t="s">
        <v>381</v>
      </c>
      <c r="C309" s="333">
        <v>10000</v>
      </c>
      <c r="D309" s="1339"/>
      <c r="E309" s="1339"/>
      <c r="F309" s="1343"/>
      <c r="G309" s="1343"/>
    </row>
    <row r="310" spans="1:7" s="278" customFormat="1">
      <c r="A310" s="327"/>
      <c r="B310" s="671" t="s">
        <v>586</v>
      </c>
      <c r="C310" s="641"/>
      <c r="D310" s="1339"/>
      <c r="E310" s="1339"/>
      <c r="F310" s="1339"/>
      <c r="G310" s="1339"/>
    </row>
    <row r="311" spans="1:7" s="278" customFormat="1">
      <c r="A311" s="403">
        <v>2</v>
      </c>
      <c r="B311" s="404" t="s">
        <v>608</v>
      </c>
      <c r="C311" s="332">
        <v>1000</v>
      </c>
      <c r="D311" s="1339"/>
      <c r="E311" s="1339"/>
      <c r="F311" s="1339"/>
      <c r="G311" s="1339"/>
    </row>
    <row r="312" spans="1:7" s="278" customFormat="1">
      <c r="A312" s="403">
        <v>3</v>
      </c>
      <c r="B312" s="408" t="s">
        <v>609</v>
      </c>
      <c r="C312" s="302">
        <v>960</v>
      </c>
      <c r="D312" s="1339"/>
      <c r="E312" s="1339"/>
      <c r="F312" s="1339"/>
      <c r="G312" s="1339"/>
    </row>
    <row r="313" spans="1:7" s="278" customFormat="1">
      <c r="A313" s="327">
        <v>4</v>
      </c>
      <c r="B313" s="408" t="s">
        <v>610</v>
      </c>
      <c r="C313" s="302">
        <v>2400</v>
      </c>
      <c r="D313" s="1339"/>
      <c r="E313" s="1339"/>
      <c r="F313" s="1339"/>
      <c r="G313" s="1339"/>
    </row>
    <row r="314" spans="1:7" s="314" customFormat="1">
      <c r="A314" s="327">
        <v>6</v>
      </c>
      <c r="B314" s="486" t="s">
        <v>611</v>
      </c>
      <c r="C314" s="333">
        <v>5000</v>
      </c>
      <c r="D314" s="1339"/>
      <c r="E314" s="1339"/>
      <c r="F314" s="1343"/>
      <c r="G314" s="1343"/>
    </row>
    <row r="315" spans="1:7" s="278" customFormat="1">
      <c r="A315" s="381">
        <v>2</v>
      </c>
      <c r="B315" s="421" t="s">
        <v>612</v>
      </c>
      <c r="C315" s="637"/>
      <c r="D315" s="1339"/>
      <c r="E315" s="1339"/>
      <c r="F315" s="1339"/>
      <c r="G315" s="1339"/>
    </row>
    <row r="316" spans="1:7" s="278" customFormat="1">
      <c r="A316" s="643"/>
      <c r="B316" s="359" t="s">
        <v>613</v>
      </c>
      <c r="C316" s="638"/>
      <c r="D316" s="1339"/>
      <c r="E316" s="1339"/>
      <c r="F316" s="1339"/>
      <c r="G316" s="1339"/>
    </row>
    <row r="317" spans="1:7" s="278" customFormat="1">
      <c r="A317" s="459"/>
      <c r="B317" s="619"/>
      <c r="C317" s="380" t="s">
        <v>1</v>
      </c>
      <c r="D317" s="1339"/>
      <c r="E317" s="1339"/>
      <c r="F317" s="1339"/>
      <c r="G317" s="1339"/>
    </row>
    <row r="318" spans="1:7" s="278" customFormat="1">
      <c r="A318" s="282">
        <v>1</v>
      </c>
      <c r="B318" s="345" t="s">
        <v>614</v>
      </c>
      <c r="C318" s="644">
        <v>5000</v>
      </c>
      <c r="D318" s="1339"/>
      <c r="E318" s="1339"/>
      <c r="F318" s="1339"/>
      <c r="G318" s="1339"/>
    </row>
    <row r="319" spans="1:7" s="278" customFormat="1">
      <c r="A319" s="282">
        <v>2</v>
      </c>
      <c r="B319" s="413" t="s">
        <v>615</v>
      </c>
      <c r="C319" s="644">
        <v>84000</v>
      </c>
      <c r="D319" s="1339"/>
      <c r="E319" s="1339"/>
      <c r="F319" s="1339"/>
      <c r="G319" s="1339"/>
    </row>
    <row r="320" spans="1:7" s="278" customFormat="1">
      <c r="A320" s="282">
        <v>3</v>
      </c>
      <c r="B320" s="345" t="s">
        <v>616</v>
      </c>
      <c r="C320" s="644">
        <v>10000</v>
      </c>
      <c r="D320" s="1339"/>
      <c r="E320" s="1339"/>
      <c r="F320" s="1339"/>
      <c r="G320" s="1339"/>
    </row>
    <row r="321" spans="1:7" s="278" customFormat="1">
      <c r="A321" s="282">
        <v>4</v>
      </c>
      <c r="B321" s="345" t="s">
        <v>617</v>
      </c>
      <c r="C321" s="644">
        <v>2000</v>
      </c>
      <c r="D321" s="1339"/>
      <c r="E321" s="1339"/>
      <c r="F321" s="1339"/>
      <c r="G321" s="1339"/>
    </row>
    <row r="322" spans="1:7" s="278" customFormat="1">
      <c r="A322" s="282">
        <v>5</v>
      </c>
      <c r="B322" s="408" t="s">
        <v>618</v>
      </c>
      <c r="C322" s="302">
        <v>1920</v>
      </c>
      <c r="D322" s="1339"/>
      <c r="E322" s="1339"/>
      <c r="F322" s="1339"/>
      <c r="G322" s="1339"/>
    </row>
    <row r="323" spans="1:7" s="278" customFormat="1">
      <c r="A323" s="462">
        <v>6</v>
      </c>
      <c r="B323" s="682" t="s">
        <v>619</v>
      </c>
      <c r="C323" s="333">
        <v>1200</v>
      </c>
      <c r="D323" s="1339"/>
      <c r="E323" s="1339"/>
      <c r="F323" s="1339"/>
      <c r="G323" s="1339"/>
    </row>
    <row r="324" spans="1:7" s="278" customFormat="1">
      <c r="A324" s="475">
        <v>7</v>
      </c>
      <c r="B324" s="476" t="s">
        <v>620</v>
      </c>
      <c r="C324" s="477">
        <v>4800</v>
      </c>
      <c r="D324" s="1339"/>
      <c r="E324" s="1339"/>
      <c r="F324" s="1339"/>
      <c r="G324" s="1339"/>
    </row>
    <row r="325" spans="1:7" s="314" customFormat="1">
      <c r="A325" s="282">
        <v>8</v>
      </c>
      <c r="B325" s="310" t="s">
        <v>611</v>
      </c>
      <c r="C325" s="302">
        <v>5000</v>
      </c>
      <c r="D325" s="1339"/>
      <c r="E325" s="1339"/>
      <c r="F325" s="1343"/>
      <c r="G325" s="1343"/>
    </row>
    <row r="326" spans="1:7" s="278" customFormat="1">
      <c r="A326" s="282">
        <v>9</v>
      </c>
      <c r="B326" s="345" t="s">
        <v>621</v>
      </c>
      <c r="C326" s="644">
        <v>4000</v>
      </c>
      <c r="D326" s="1339"/>
      <c r="E326" s="1339"/>
      <c r="F326" s="1339"/>
      <c r="G326" s="1339"/>
    </row>
    <row r="327" spans="1:7" s="278" customFormat="1">
      <c r="A327" s="462"/>
      <c r="B327" s="474"/>
      <c r="C327" s="672"/>
      <c r="D327" s="1339"/>
      <c r="E327" s="1339"/>
      <c r="F327" s="1339"/>
      <c r="G327" s="1339"/>
    </row>
    <row r="328" spans="1:7" s="278" customFormat="1" ht="23.25" customHeight="1">
      <c r="A328" s="378">
        <v>3</v>
      </c>
      <c r="B328" s="427" t="s">
        <v>622</v>
      </c>
      <c r="C328" s="399"/>
      <c r="D328" s="1339"/>
      <c r="E328" s="1339"/>
      <c r="F328" s="1339"/>
      <c r="G328" s="1339"/>
    </row>
    <row r="329" spans="1:7" s="278" customFormat="1">
      <c r="A329" s="459"/>
      <c r="B329" s="619"/>
      <c r="C329" s="380" t="s">
        <v>1</v>
      </c>
      <c r="D329" s="1339"/>
      <c r="E329" s="1339"/>
      <c r="F329" s="1339"/>
      <c r="G329" s="1339"/>
    </row>
    <row r="330" spans="1:7" s="278" customFormat="1">
      <c r="A330" s="282">
        <v>3.1</v>
      </c>
      <c r="B330" s="278" t="s">
        <v>623</v>
      </c>
      <c r="C330" s="302">
        <v>12000</v>
      </c>
      <c r="D330" s="1339"/>
      <c r="E330" s="1339"/>
      <c r="F330" s="1339"/>
      <c r="G330" s="1339"/>
    </row>
    <row r="331" spans="1:7" s="278" customFormat="1">
      <c r="A331" s="282">
        <v>3.2</v>
      </c>
      <c r="B331" s="278" t="s">
        <v>624</v>
      </c>
      <c r="C331" s="302">
        <v>30000</v>
      </c>
      <c r="D331" s="1339"/>
      <c r="E331" s="1339"/>
      <c r="F331" s="1339"/>
      <c r="G331" s="1339"/>
    </row>
    <row r="332" spans="1:7" s="278" customFormat="1">
      <c r="A332" s="282">
        <v>3.3</v>
      </c>
      <c r="B332" s="310" t="s">
        <v>625</v>
      </c>
      <c r="C332" s="302">
        <v>25000</v>
      </c>
      <c r="D332" s="1339"/>
      <c r="E332" s="1339"/>
      <c r="F332" s="1339"/>
      <c r="G332" s="1339"/>
    </row>
    <row r="333" spans="1:7" s="278" customFormat="1" ht="27.75" customHeight="1">
      <c r="A333" s="462"/>
      <c r="B333" s="661"/>
      <c r="C333" s="292">
        <f>SUM(C300:C332)</f>
        <v>446500</v>
      </c>
      <c r="D333" s="1339"/>
      <c r="E333" s="1339"/>
      <c r="F333" s="1339"/>
      <c r="G333" s="1339"/>
    </row>
    <row r="334" spans="1:7" s="278" customFormat="1" ht="23.25" customHeight="1">
      <c r="A334" s="629"/>
      <c r="B334" s="427" t="s">
        <v>626</v>
      </c>
      <c r="C334" s="422"/>
      <c r="D334" s="1339"/>
      <c r="E334" s="1339"/>
      <c r="F334" s="1339"/>
      <c r="G334" s="1339"/>
    </row>
    <row r="335" spans="1:7" s="278" customFormat="1" ht="23.25" customHeight="1">
      <c r="A335" s="282"/>
      <c r="B335" s="608" t="s">
        <v>506</v>
      </c>
      <c r="C335" s="645"/>
      <c r="D335" s="1339"/>
      <c r="E335" s="1339"/>
      <c r="F335" s="1339"/>
      <c r="G335" s="1339"/>
    </row>
    <row r="336" spans="1:7" s="278" customFormat="1" ht="23.25" customHeight="1">
      <c r="A336" s="282"/>
      <c r="B336" s="608" t="s">
        <v>627</v>
      </c>
      <c r="C336" s="425"/>
      <c r="D336" s="1339"/>
      <c r="E336" s="1339"/>
      <c r="F336" s="1339"/>
      <c r="G336" s="1339"/>
    </row>
    <row r="337" spans="1:7" s="278" customFormat="1" ht="23.25" customHeight="1">
      <c r="A337" s="282"/>
      <c r="B337" s="608" t="s">
        <v>628</v>
      </c>
      <c r="C337" s="425"/>
      <c r="D337" s="1339"/>
      <c r="E337" s="1339"/>
      <c r="F337" s="1339"/>
      <c r="G337" s="1339"/>
    </row>
    <row r="338" spans="1:7" s="278" customFormat="1" ht="23.25" customHeight="1">
      <c r="A338" s="462"/>
      <c r="B338" s="661" t="s">
        <v>629</v>
      </c>
      <c r="C338" s="492"/>
      <c r="D338" s="1339"/>
      <c r="E338" s="1339"/>
      <c r="F338" s="1339"/>
      <c r="G338" s="1339"/>
    </row>
    <row r="339" spans="1:7" s="278" customFormat="1" ht="23.25" customHeight="1">
      <c r="A339" s="378">
        <v>1</v>
      </c>
      <c r="B339" s="427" t="s">
        <v>630</v>
      </c>
      <c r="C339" s="399"/>
      <c r="D339" s="1339"/>
      <c r="E339" s="1339"/>
      <c r="F339" s="1339"/>
      <c r="G339" s="1339"/>
    </row>
    <row r="340" spans="1:7" s="278" customFormat="1">
      <c r="A340" s="327"/>
      <c r="B340" s="379"/>
      <c r="C340" s="380" t="s">
        <v>1</v>
      </c>
      <c r="D340" s="1339"/>
      <c r="E340" s="1339"/>
      <c r="F340" s="1339"/>
      <c r="G340" s="1339"/>
    </row>
    <row r="341" spans="1:7" s="278" customFormat="1">
      <c r="A341" s="282">
        <v>1</v>
      </c>
      <c r="B341" s="278" t="s">
        <v>631</v>
      </c>
      <c r="C341" s="302">
        <v>36000</v>
      </c>
      <c r="D341" s="1339"/>
      <c r="E341" s="1339"/>
      <c r="F341" s="1339"/>
      <c r="G341" s="1339"/>
    </row>
    <row r="342" spans="1:7" s="278" customFormat="1">
      <c r="A342" s="282">
        <v>2</v>
      </c>
      <c r="B342" s="278" t="s">
        <v>632</v>
      </c>
      <c r="C342" s="302">
        <v>90000</v>
      </c>
      <c r="D342" s="1339"/>
      <c r="E342" s="1339"/>
      <c r="F342" s="1339"/>
      <c r="G342" s="1339"/>
    </row>
    <row r="343" spans="1:7" s="278" customFormat="1">
      <c r="A343" s="462">
        <v>3</v>
      </c>
      <c r="B343" s="473" t="s">
        <v>633</v>
      </c>
      <c r="C343" s="333">
        <v>125000</v>
      </c>
      <c r="D343" s="1339"/>
      <c r="E343" s="1339"/>
      <c r="F343" s="1339"/>
      <c r="G343" s="1339"/>
    </row>
    <row r="344" spans="1:7" s="278" customFormat="1" ht="23.25" customHeight="1">
      <c r="A344" s="378">
        <v>2</v>
      </c>
      <c r="B344" s="427" t="s">
        <v>634</v>
      </c>
      <c r="C344" s="399"/>
      <c r="D344" s="1339"/>
      <c r="E344" s="1339"/>
      <c r="F344" s="1339"/>
      <c r="G344" s="1339"/>
    </row>
    <row r="345" spans="1:7" s="278" customFormat="1">
      <c r="A345" s="327"/>
      <c r="B345" s="379"/>
      <c r="C345" s="380" t="s">
        <v>1</v>
      </c>
      <c r="D345" s="1339"/>
      <c r="E345" s="1339"/>
      <c r="F345" s="1339"/>
      <c r="G345" s="1339"/>
    </row>
    <row r="346" spans="1:7" s="278" customFormat="1" ht="23.25" customHeight="1">
      <c r="A346" s="282"/>
      <c r="B346" s="608" t="s">
        <v>635</v>
      </c>
      <c r="C346" s="425"/>
      <c r="D346" s="1339"/>
      <c r="E346" s="1339"/>
      <c r="F346" s="1339"/>
      <c r="G346" s="1339"/>
    </row>
    <row r="347" spans="1:7" s="278" customFormat="1">
      <c r="A347" s="676"/>
      <c r="B347" s="400" t="s">
        <v>448</v>
      </c>
      <c r="C347" s="401"/>
      <c r="D347" s="1339"/>
      <c r="E347" s="1339"/>
      <c r="F347" s="1339"/>
      <c r="G347" s="1339"/>
    </row>
    <row r="348" spans="1:7" s="278" customFormat="1">
      <c r="A348" s="327">
        <v>1</v>
      </c>
      <c r="B348" s="288" t="s">
        <v>636</v>
      </c>
      <c r="C348" s="330">
        <v>5000</v>
      </c>
      <c r="D348" s="1339"/>
      <c r="E348" s="1339"/>
      <c r="F348" s="1339"/>
      <c r="G348" s="1339"/>
    </row>
    <row r="349" spans="1:7" s="278" customFormat="1">
      <c r="A349" s="327">
        <v>2</v>
      </c>
      <c r="B349" s="288" t="s">
        <v>602</v>
      </c>
      <c r="C349" s="330">
        <v>2000</v>
      </c>
      <c r="D349" s="1339"/>
      <c r="E349" s="1339"/>
      <c r="F349" s="1339"/>
      <c r="G349" s="1339"/>
    </row>
    <row r="350" spans="1:7" s="278" customFormat="1">
      <c r="A350" s="327">
        <v>3</v>
      </c>
      <c r="B350" s="288" t="s">
        <v>603</v>
      </c>
      <c r="C350" s="330">
        <v>3500</v>
      </c>
      <c r="D350" s="1339"/>
      <c r="E350" s="1339"/>
      <c r="F350" s="1339"/>
      <c r="G350" s="1339"/>
    </row>
    <row r="351" spans="1:7" s="278" customFormat="1">
      <c r="A351" s="403">
        <v>4</v>
      </c>
      <c r="B351" s="404" t="s">
        <v>604</v>
      </c>
      <c r="C351" s="330">
        <v>100000</v>
      </c>
      <c r="D351" s="1339"/>
      <c r="E351" s="1339"/>
      <c r="F351" s="1339"/>
      <c r="G351" s="1339"/>
    </row>
    <row r="352" spans="1:7" s="278" customFormat="1" ht="21">
      <c r="A352" s="403"/>
      <c r="B352" s="404"/>
      <c r="C352" s="646"/>
      <c r="D352" s="1339"/>
      <c r="E352" s="1339"/>
      <c r="F352" s="1339"/>
      <c r="G352" s="1339"/>
    </row>
    <row r="353" spans="1:7" s="278" customFormat="1" ht="21">
      <c r="A353" s="674"/>
      <c r="B353" s="411" t="s">
        <v>581</v>
      </c>
      <c r="C353" s="406"/>
      <c r="D353" s="1339"/>
      <c r="E353" s="1339"/>
      <c r="F353" s="1339"/>
      <c r="G353" s="1339"/>
    </row>
    <row r="354" spans="1:7" s="278" customFormat="1">
      <c r="A354" s="403">
        <v>1</v>
      </c>
      <c r="B354" s="404" t="s">
        <v>605</v>
      </c>
      <c r="C354" s="330">
        <v>20000</v>
      </c>
      <c r="D354" s="1339"/>
      <c r="E354" s="1339"/>
      <c r="F354" s="1339"/>
      <c r="G354" s="1339"/>
    </row>
    <row r="355" spans="1:7" s="278" customFormat="1">
      <c r="A355" s="403">
        <v>2</v>
      </c>
      <c r="B355" s="404" t="s">
        <v>604</v>
      </c>
      <c r="C355" s="330">
        <v>100000</v>
      </c>
      <c r="D355" s="1339"/>
      <c r="E355" s="1339"/>
      <c r="F355" s="1339"/>
      <c r="G355" s="1339"/>
    </row>
    <row r="356" spans="1:7" s="278" customFormat="1">
      <c r="A356" s="403">
        <v>3</v>
      </c>
      <c r="B356" s="408" t="s">
        <v>637</v>
      </c>
      <c r="C356" s="302">
        <v>3840</v>
      </c>
      <c r="D356" s="1339"/>
      <c r="E356" s="1339"/>
      <c r="F356" s="1339"/>
      <c r="G356" s="1339"/>
    </row>
    <row r="357" spans="1:7" s="278" customFormat="1">
      <c r="A357" s="403">
        <v>4</v>
      </c>
      <c r="B357" s="408" t="s">
        <v>638</v>
      </c>
      <c r="C357" s="302">
        <v>9600</v>
      </c>
      <c r="D357" s="1339"/>
      <c r="E357" s="1339"/>
      <c r="F357" s="1339"/>
      <c r="G357" s="1339"/>
    </row>
    <row r="358" spans="1:7" s="314" customFormat="1">
      <c r="A358" s="403">
        <v>5</v>
      </c>
      <c r="B358" s="409" t="s">
        <v>381</v>
      </c>
      <c r="C358" s="302">
        <v>10000</v>
      </c>
      <c r="D358" s="1339"/>
      <c r="E358" s="1339"/>
      <c r="F358" s="1343"/>
      <c r="G358" s="1343"/>
    </row>
    <row r="359" spans="1:7" s="314" customFormat="1">
      <c r="A359" s="403"/>
      <c r="B359" s="409"/>
      <c r="C359" s="302"/>
      <c r="D359" s="1339"/>
      <c r="E359" s="1339"/>
      <c r="F359" s="1343"/>
      <c r="G359" s="1343"/>
    </row>
    <row r="360" spans="1:7" s="278" customFormat="1" ht="21">
      <c r="A360" s="613"/>
      <c r="B360" s="673"/>
      <c r="C360" s="292"/>
      <c r="D360" s="1339"/>
      <c r="E360" s="1339"/>
      <c r="F360" s="1339"/>
      <c r="G360" s="1339"/>
    </row>
    <row r="361" spans="1:7" s="278" customFormat="1">
      <c r="A361" s="675"/>
      <c r="B361" s="671" t="s">
        <v>586</v>
      </c>
      <c r="C361" s="410"/>
      <c r="D361" s="1339"/>
      <c r="E361" s="1339"/>
      <c r="F361" s="1339"/>
      <c r="G361" s="1339"/>
    </row>
    <row r="362" spans="1:7" s="278" customFormat="1">
      <c r="A362" s="403">
        <v>1</v>
      </c>
      <c r="B362" s="404" t="s">
        <v>608</v>
      </c>
      <c r="C362" s="332">
        <v>1000</v>
      </c>
      <c r="D362" s="1339"/>
      <c r="E362" s="1339"/>
      <c r="F362" s="1339"/>
      <c r="G362" s="1339"/>
    </row>
    <row r="363" spans="1:7" s="278" customFormat="1">
      <c r="A363" s="403">
        <v>2</v>
      </c>
      <c r="B363" s="408" t="s">
        <v>618</v>
      </c>
      <c r="C363" s="302">
        <v>9600</v>
      </c>
      <c r="D363" s="1339"/>
      <c r="E363" s="1339"/>
      <c r="F363" s="1339"/>
      <c r="G363" s="1339"/>
    </row>
    <row r="364" spans="1:7" s="278" customFormat="1">
      <c r="A364" s="327">
        <v>3</v>
      </c>
      <c r="B364" s="278" t="s">
        <v>620</v>
      </c>
      <c r="C364" s="302">
        <v>4800</v>
      </c>
      <c r="D364" s="1339"/>
      <c r="E364" s="1339"/>
      <c r="F364" s="1339"/>
      <c r="G364" s="1339"/>
    </row>
    <row r="365" spans="1:7" s="314" customFormat="1">
      <c r="A365" s="483">
        <v>4</v>
      </c>
      <c r="B365" s="310" t="s">
        <v>611</v>
      </c>
      <c r="C365" s="302">
        <v>5000</v>
      </c>
      <c r="D365" s="1339"/>
      <c r="E365" s="1339"/>
      <c r="F365" s="1343"/>
      <c r="G365" s="1343"/>
    </row>
    <row r="366" spans="1:7" s="278" customFormat="1" ht="23.25" customHeight="1">
      <c r="A366" s="378">
        <v>3</v>
      </c>
      <c r="B366" s="340" t="s">
        <v>639</v>
      </c>
      <c r="C366" s="399"/>
      <c r="D366" s="1339"/>
      <c r="E366" s="1339"/>
      <c r="F366" s="1339"/>
      <c r="G366" s="1339"/>
    </row>
    <row r="367" spans="1:7" s="278" customFormat="1">
      <c r="A367" s="327"/>
      <c r="B367" s="608"/>
      <c r="C367" s="647" t="s">
        <v>1</v>
      </c>
      <c r="D367" s="1339"/>
      <c r="E367" s="1339"/>
      <c r="F367" s="1339"/>
      <c r="G367" s="1339"/>
    </row>
    <row r="368" spans="1:7" s="278" customFormat="1">
      <c r="A368" s="282">
        <v>1</v>
      </c>
      <c r="B368" s="278" t="s">
        <v>34</v>
      </c>
      <c r="C368" s="302">
        <v>8400</v>
      </c>
      <c r="D368" s="1339"/>
      <c r="E368" s="1339"/>
      <c r="F368" s="1339"/>
      <c r="G368" s="1339"/>
    </row>
    <row r="369" spans="1:7" s="278" customFormat="1">
      <c r="A369" s="282">
        <v>2</v>
      </c>
      <c r="B369" s="648" t="s">
        <v>640</v>
      </c>
      <c r="C369" s="302">
        <v>10000</v>
      </c>
      <c r="D369" s="1339"/>
      <c r="E369" s="1339"/>
      <c r="F369" s="1339"/>
      <c r="G369" s="1339"/>
    </row>
    <row r="370" spans="1:7" s="278" customFormat="1">
      <c r="A370" s="282">
        <v>3</v>
      </c>
      <c r="B370" s="278" t="s">
        <v>14</v>
      </c>
      <c r="C370" s="302">
        <v>5000</v>
      </c>
      <c r="D370" s="1339"/>
      <c r="E370" s="1339"/>
      <c r="F370" s="1339"/>
      <c r="G370" s="1339"/>
    </row>
    <row r="371" spans="1:7" s="278" customFormat="1">
      <c r="A371" s="282">
        <v>4</v>
      </c>
      <c r="B371" s="649" t="s">
        <v>35</v>
      </c>
      <c r="C371" s="302">
        <v>5000</v>
      </c>
      <c r="D371" s="1339"/>
      <c r="E371" s="1339"/>
      <c r="F371" s="1339"/>
      <c r="G371" s="1339"/>
    </row>
    <row r="372" spans="1:7" s="278" customFormat="1">
      <c r="A372" s="282">
        <v>5</v>
      </c>
      <c r="B372" s="649" t="s">
        <v>15</v>
      </c>
      <c r="C372" s="302">
        <v>25000</v>
      </c>
      <c r="D372" s="1339"/>
      <c r="E372" s="1339"/>
      <c r="F372" s="1339"/>
      <c r="G372" s="1339"/>
    </row>
    <row r="373" spans="1:7" s="278" customFormat="1">
      <c r="A373" s="282">
        <v>6</v>
      </c>
      <c r="B373" s="278" t="s">
        <v>641</v>
      </c>
      <c r="C373" s="302">
        <v>1200</v>
      </c>
      <c r="D373" s="1339"/>
      <c r="E373" s="1339"/>
      <c r="F373" s="1339"/>
      <c r="G373" s="1339"/>
    </row>
    <row r="374" spans="1:7" s="278" customFormat="1">
      <c r="A374" s="282"/>
      <c r="B374" s="278" t="s">
        <v>642</v>
      </c>
      <c r="C374" s="302">
        <v>2400</v>
      </c>
      <c r="D374" s="1339"/>
      <c r="E374" s="1339"/>
      <c r="F374" s="1339"/>
      <c r="G374" s="1339"/>
    </row>
    <row r="375" spans="1:7" s="278" customFormat="1">
      <c r="A375" s="282">
        <v>7</v>
      </c>
      <c r="B375" s="278" t="s">
        <v>643</v>
      </c>
      <c r="C375" s="302">
        <v>6000</v>
      </c>
      <c r="D375" s="1339"/>
      <c r="E375" s="1339"/>
      <c r="F375" s="1339"/>
      <c r="G375" s="1339"/>
    </row>
    <row r="376" spans="1:7" s="278" customFormat="1">
      <c r="A376" s="282">
        <v>8</v>
      </c>
      <c r="B376" s="310" t="s">
        <v>611</v>
      </c>
      <c r="C376" s="302">
        <v>5000</v>
      </c>
      <c r="D376" s="1339"/>
      <c r="E376" s="1339"/>
      <c r="F376" s="1339"/>
      <c r="G376" s="1339"/>
    </row>
    <row r="377" spans="1:7" s="278" customFormat="1" ht="22.5" customHeight="1">
      <c r="A377" s="462"/>
      <c r="B377" s="291"/>
      <c r="C377" s="292">
        <f>SUM(C340:C376)</f>
        <v>593340</v>
      </c>
      <c r="D377" s="1339"/>
      <c r="E377" s="1339"/>
      <c r="F377" s="1339"/>
      <c r="G377" s="1339"/>
    </row>
    <row r="378" spans="1:7" s="278" customFormat="1" ht="21">
      <c r="A378" s="650"/>
      <c r="B378" s="421" t="s">
        <v>644</v>
      </c>
      <c r="C378" s="422"/>
      <c r="D378" s="1339"/>
      <c r="E378" s="1339"/>
      <c r="F378" s="1339"/>
      <c r="G378" s="1339"/>
    </row>
    <row r="379" spans="1:7" s="278" customFormat="1" ht="21">
      <c r="A379" s="643"/>
      <c r="B379" s="359" t="s">
        <v>645</v>
      </c>
      <c r="C379" s="423"/>
      <c r="D379" s="1339"/>
      <c r="E379" s="1339"/>
      <c r="F379" s="1339"/>
      <c r="G379" s="1339"/>
    </row>
    <row r="380" spans="1:7" s="278" customFormat="1" ht="21">
      <c r="A380" s="459"/>
      <c r="B380" s="619" t="s">
        <v>506</v>
      </c>
      <c r="C380" s="660"/>
      <c r="D380" s="1339"/>
      <c r="E380" s="1339"/>
      <c r="F380" s="1339"/>
      <c r="G380" s="1339"/>
    </row>
    <row r="381" spans="1:7" s="278" customFormat="1" ht="37.5" customHeight="1">
      <c r="A381" s="327"/>
      <c r="B381" s="1466" t="s">
        <v>646</v>
      </c>
      <c r="C381" s="1467"/>
      <c r="D381" s="1339"/>
      <c r="E381" s="1339"/>
      <c r="F381" s="1339"/>
      <c r="G381" s="1339"/>
    </row>
    <row r="382" spans="1:7" s="278" customFormat="1" ht="63" customHeight="1">
      <c r="A382" s="327"/>
      <c r="B382" s="1466" t="s">
        <v>1013</v>
      </c>
      <c r="C382" s="1467"/>
      <c r="D382" s="1339"/>
      <c r="E382" s="1339"/>
      <c r="F382" s="1339"/>
      <c r="G382" s="1339"/>
    </row>
    <row r="383" spans="1:7" s="278" customFormat="1" ht="21">
      <c r="A383" s="327"/>
      <c r="B383" s="379" t="s">
        <v>647</v>
      </c>
      <c r="C383" s="550"/>
      <c r="D383" s="1339"/>
      <c r="E383" s="1339"/>
      <c r="F383" s="1339"/>
      <c r="G383" s="1339"/>
    </row>
    <row r="384" spans="1:7" s="278" customFormat="1" ht="63.75" customHeight="1">
      <c r="A384" s="483"/>
      <c r="B384" s="1470" t="s">
        <v>1014</v>
      </c>
      <c r="C384" s="1471"/>
      <c r="D384" s="1339"/>
      <c r="E384" s="1339"/>
      <c r="F384" s="1339"/>
      <c r="G384" s="1339"/>
    </row>
    <row r="385" spans="1:7" s="278" customFormat="1" ht="37.5" customHeight="1">
      <c r="A385" s="378">
        <v>1</v>
      </c>
      <c r="B385" s="1462" t="s">
        <v>648</v>
      </c>
      <c r="C385" s="1463"/>
      <c r="D385" s="1339"/>
      <c r="E385" s="1339"/>
      <c r="F385" s="1339"/>
      <c r="G385" s="1339"/>
    </row>
    <row r="386" spans="1:7" s="278" customFormat="1">
      <c r="A386" s="327"/>
      <c r="B386" s="608"/>
      <c r="C386" s="647" t="s">
        <v>1</v>
      </c>
      <c r="D386" s="1339"/>
      <c r="E386" s="1339"/>
      <c r="F386" s="1339"/>
      <c r="G386" s="1339"/>
    </row>
    <row r="387" spans="1:7" s="278" customFormat="1">
      <c r="A387" s="282">
        <v>1</v>
      </c>
      <c r="B387" s="648" t="s">
        <v>649</v>
      </c>
      <c r="C387" s="302">
        <v>5000</v>
      </c>
      <c r="D387" s="1339"/>
      <c r="E387" s="1339"/>
      <c r="F387" s="1339"/>
      <c r="G387" s="1339"/>
    </row>
    <row r="388" spans="1:7" s="278" customFormat="1">
      <c r="A388" s="282">
        <v>2</v>
      </c>
      <c r="B388" s="278" t="s">
        <v>641</v>
      </c>
      <c r="C388" s="302">
        <v>1200</v>
      </c>
      <c r="D388" s="1339"/>
      <c r="E388" s="1339"/>
      <c r="F388" s="1339"/>
      <c r="G388" s="1339"/>
    </row>
    <row r="389" spans="1:7" s="278" customFormat="1">
      <c r="A389" s="282">
        <v>3</v>
      </c>
      <c r="B389" s="278" t="s">
        <v>650</v>
      </c>
      <c r="C389" s="302">
        <v>6000</v>
      </c>
      <c r="D389" s="1339"/>
      <c r="E389" s="1339"/>
      <c r="F389" s="1339"/>
      <c r="G389" s="1339"/>
    </row>
    <row r="390" spans="1:7" s="278" customFormat="1">
      <c r="A390" s="282">
        <v>4</v>
      </c>
      <c r="B390" s="278" t="s">
        <v>651</v>
      </c>
      <c r="C390" s="302">
        <v>10000</v>
      </c>
      <c r="D390" s="1339"/>
      <c r="E390" s="1339"/>
      <c r="F390" s="1339"/>
      <c r="G390" s="1339"/>
    </row>
    <row r="391" spans="1:7" s="278" customFormat="1">
      <c r="A391" s="282">
        <v>5</v>
      </c>
      <c r="B391" s="310" t="s">
        <v>611</v>
      </c>
      <c r="C391" s="302">
        <v>5000</v>
      </c>
      <c r="D391" s="1339"/>
      <c r="E391" s="1339"/>
      <c r="F391" s="1339"/>
      <c r="G391" s="1339"/>
    </row>
    <row r="392" spans="1:7" s="278" customFormat="1">
      <c r="A392" s="282"/>
      <c r="B392" s="310"/>
      <c r="C392" s="333"/>
      <c r="D392" s="1339"/>
      <c r="E392" s="1339"/>
      <c r="F392" s="1339"/>
      <c r="G392" s="1339"/>
    </row>
    <row r="393" spans="1:7" s="349" customFormat="1" ht="37.5" customHeight="1">
      <c r="A393" s="378">
        <v>2</v>
      </c>
      <c r="B393" s="1462" t="s">
        <v>1015</v>
      </c>
      <c r="C393" s="1463"/>
      <c r="D393" s="1344"/>
      <c r="E393" s="1344"/>
      <c r="F393" s="1344"/>
      <c r="G393" s="1344"/>
    </row>
    <row r="394" spans="1:7" s="278" customFormat="1">
      <c r="A394" s="327"/>
      <c r="B394" s="608"/>
      <c r="C394" s="628" t="s">
        <v>1</v>
      </c>
      <c r="D394" s="1339"/>
      <c r="E394" s="1339"/>
      <c r="F394" s="1339"/>
      <c r="G394" s="1339"/>
    </row>
    <row r="395" spans="1:7" s="278" customFormat="1">
      <c r="A395" s="282">
        <v>1</v>
      </c>
      <c r="B395" s="278" t="s">
        <v>34</v>
      </c>
      <c r="C395" s="302">
        <v>8400</v>
      </c>
      <c r="D395" s="1339"/>
      <c r="E395" s="1339"/>
      <c r="F395" s="1339"/>
      <c r="G395" s="1339"/>
    </row>
    <row r="396" spans="1:7" s="278" customFormat="1">
      <c r="A396" s="282">
        <v>2</v>
      </c>
      <c r="B396" s="648" t="s">
        <v>640</v>
      </c>
      <c r="C396" s="302">
        <v>10000</v>
      </c>
      <c r="D396" s="1339"/>
      <c r="E396" s="1339"/>
      <c r="F396" s="1339"/>
      <c r="G396" s="1339"/>
    </row>
    <row r="397" spans="1:7" s="278" customFormat="1">
      <c r="A397" s="282">
        <v>3</v>
      </c>
      <c r="B397" s="278" t="s">
        <v>14</v>
      </c>
      <c r="C397" s="302">
        <v>5000</v>
      </c>
      <c r="D397" s="1339"/>
      <c r="E397" s="1339"/>
      <c r="F397" s="1339"/>
      <c r="G397" s="1339"/>
    </row>
    <row r="398" spans="1:7" s="278" customFormat="1">
      <c r="A398" s="282">
        <v>4</v>
      </c>
      <c r="B398" s="649" t="s">
        <v>35</v>
      </c>
      <c r="C398" s="302">
        <v>5000</v>
      </c>
      <c r="D398" s="1339"/>
      <c r="E398" s="1339"/>
      <c r="F398" s="1339"/>
      <c r="G398" s="1339"/>
    </row>
    <row r="399" spans="1:7" s="278" customFormat="1">
      <c r="A399" s="282">
        <v>5</v>
      </c>
      <c r="B399" s="649" t="s">
        <v>15</v>
      </c>
      <c r="C399" s="302">
        <v>25000</v>
      </c>
      <c r="D399" s="1339"/>
      <c r="E399" s="1339"/>
      <c r="F399" s="1339"/>
      <c r="G399" s="1339"/>
    </row>
    <row r="400" spans="1:7" s="278" customFormat="1">
      <c r="A400" s="282">
        <v>6</v>
      </c>
      <c r="B400" s="278" t="s">
        <v>641</v>
      </c>
      <c r="C400" s="302">
        <v>1200</v>
      </c>
      <c r="D400" s="1339"/>
      <c r="E400" s="1345"/>
      <c r="F400" s="1339"/>
      <c r="G400" s="1339"/>
    </row>
    <row r="401" spans="1:7" s="278" customFormat="1">
      <c r="A401" s="282">
        <v>7</v>
      </c>
      <c r="B401" s="278" t="s">
        <v>652</v>
      </c>
      <c r="C401" s="302">
        <v>2400</v>
      </c>
      <c r="D401" s="1339"/>
      <c r="E401" s="1345"/>
      <c r="F401" s="1339"/>
      <c r="G401" s="1339"/>
    </row>
    <row r="402" spans="1:7" s="278" customFormat="1">
      <c r="A402" s="282">
        <v>8</v>
      </c>
      <c r="B402" s="278" t="s">
        <v>650</v>
      </c>
      <c r="C402" s="302">
        <v>6000</v>
      </c>
      <c r="D402" s="1339"/>
      <c r="E402" s="1339"/>
      <c r="F402" s="1339"/>
      <c r="G402" s="1339"/>
    </row>
    <row r="403" spans="1:7" s="278" customFormat="1">
      <c r="A403" s="282">
        <v>9</v>
      </c>
      <c r="B403" s="278" t="s">
        <v>651</v>
      </c>
      <c r="C403" s="302">
        <v>10000</v>
      </c>
      <c r="D403" s="1339"/>
      <c r="E403" s="1339"/>
      <c r="F403" s="1339"/>
      <c r="G403" s="1339"/>
    </row>
    <row r="404" spans="1:7" s="278" customFormat="1">
      <c r="A404" s="282">
        <v>10</v>
      </c>
      <c r="B404" s="310" t="s">
        <v>611</v>
      </c>
      <c r="C404" s="302">
        <v>5000</v>
      </c>
      <c r="D404" s="1339"/>
      <c r="E404" s="1339"/>
      <c r="F404" s="1339"/>
      <c r="G404" s="1339"/>
    </row>
    <row r="405" spans="1:7" s="278" customFormat="1" ht="26.25" customHeight="1">
      <c r="A405" s="282"/>
      <c r="B405" s="285"/>
      <c r="C405" s="354">
        <f>SUM(C387:C404)</f>
        <v>105200</v>
      </c>
      <c r="D405" s="1339"/>
      <c r="E405" s="1339"/>
      <c r="F405" s="1339"/>
      <c r="G405" s="1339"/>
    </row>
    <row r="406" spans="1:7" s="349" customFormat="1" ht="37.5" customHeight="1">
      <c r="A406" s="381">
        <v>6.8</v>
      </c>
      <c r="B406" s="1458" t="s">
        <v>653</v>
      </c>
      <c r="C406" s="1459"/>
      <c r="D406" s="1344"/>
      <c r="E406" s="1344"/>
      <c r="F406" s="1344"/>
      <c r="G406" s="1344"/>
    </row>
    <row r="407" spans="1:7" s="349" customFormat="1" ht="21">
      <c r="A407" s="382"/>
      <c r="B407" s="359" t="s">
        <v>654</v>
      </c>
      <c r="C407" s="423"/>
      <c r="D407" s="1344"/>
      <c r="E407" s="1344"/>
      <c r="F407" s="1344"/>
      <c r="G407" s="1344"/>
    </row>
    <row r="408" spans="1:7" s="278" customFormat="1">
      <c r="A408" s="327"/>
      <c r="B408" s="608"/>
      <c r="C408" s="380" t="s">
        <v>1</v>
      </c>
      <c r="D408" s="1339"/>
      <c r="E408" s="1339"/>
      <c r="F408" s="1339"/>
      <c r="G408" s="1339"/>
    </row>
    <row r="409" spans="1:7" s="278" customFormat="1">
      <c r="A409" s="282">
        <v>2.4</v>
      </c>
      <c r="B409" s="649" t="s">
        <v>655</v>
      </c>
      <c r="C409" s="302">
        <v>4000</v>
      </c>
      <c r="D409" s="1339"/>
      <c r="E409" s="1339"/>
      <c r="F409" s="1339"/>
      <c r="G409" s="1339"/>
    </row>
    <row r="410" spans="1:7" s="278" customFormat="1">
      <c r="A410" s="282">
        <v>2.5</v>
      </c>
      <c r="B410" s="649" t="s">
        <v>656</v>
      </c>
      <c r="C410" s="302">
        <v>20000</v>
      </c>
      <c r="D410" s="1339"/>
      <c r="E410" s="1339"/>
      <c r="F410" s="1339"/>
      <c r="G410" s="1339"/>
    </row>
    <row r="411" spans="1:7" s="278" customFormat="1">
      <c r="A411" s="282">
        <v>2.6</v>
      </c>
      <c r="B411" s="278" t="s">
        <v>474</v>
      </c>
      <c r="C411" s="302">
        <v>9600</v>
      </c>
      <c r="D411" s="1339"/>
      <c r="E411" s="1339"/>
      <c r="F411" s="1339"/>
      <c r="G411" s="1339"/>
    </row>
    <row r="412" spans="1:7" s="278" customFormat="1">
      <c r="A412" s="282">
        <v>2.7</v>
      </c>
      <c r="B412" s="278" t="s">
        <v>476</v>
      </c>
      <c r="C412" s="302">
        <v>48000</v>
      </c>
      <c r="D412" s="1339"/>
      <c r="E412" s="1339"/>
      <c r="F412" s="1339"/>
      <c r="G412" s="1339"/>
    </row>
    <row r="413" spans="1:7" s="278" customFormat="1">
      <c r="A413" s="282">
        <v>2.8</v>
      </c>
      <c r="B413" s="278" t="s">
        <v>657</v>
      </c>
      <c r="C413" s="302">
        <v>30000</v>
      </c>
      <c r="D413" s="1339"/>
      <c r="E413" s="1339"/>
      <c r="F413" s="1339"/>
      <c r="G413" s="1339"/>
    </row>
    <row r="414" spans="1:7" s="278" customFormat="1">
      <c r="A414" s="282">
        <v>2.8</v>
      </c>
      <c r="B414" s="310" t="s">
        <v>458</v>
      </c>
      <c r="C414" s="302">
        <v>40000</v>
      </c>
      <c r="D414" s="1339"/>
      <c r="E414" s="1339"/>
      <c r="F414" s="1339"/>
      <c r="G414" s="1339"/>
    </row>
    <row r="415" spans="1:7" s="278" customFormat="1">
      <c r="A415" s="282"/>
      <c r="B415" s="310"/>
      <c r="C415" s="651">
        <f>SUM(C409:C414)</f>
        <v>151600</v>
      </c>
      <c r="D415" s="1339"/>
      <c r="E415" s="1339"/>
      <c r="F415" s="1339"/>
      <c r="G415" s="1339"/>
    </row>
    <row r="416" spans="1:7" s="349" customFormat="1" ht="21">
      <c r="A416" s="418"/>
      <c r="B416" s="379"/>
      <c r="C416" s="458"/>
      <c r="D416" s="1344"/>
      <c r="E416" s="1344"/>
      <c r="F416" s="1344"/>
      <c r="G416" s="1344"/>
    </row>
    <row r="417" spans="1:7" s="278" customFormat="1" ht="18" customHeight="1">
      <c r="A417" s="322">
        <v>6.9</v>
      </c>
      <c r="B417" s="1472" t="s">
        <v>658</v>
      </c>
      <c r="C417" s="1457"/>
      <c r="D417" s="1339"/>
      <c r="E417" s="1339"/>
      <c r="F417" s="1339"/>
      <c r="G417" s="1339"/>
    </row>
    <row r="418" spans="1:7" s="278" customFormat="1" ht="18" customHeight="1">
      <c r="A418" s="621"/>
      <c r="B418" s="622"/>
      <c r="C418" s="326" t="s">
        <v>1</v>
      </c>
      <c r="D418" s="1339"/>
      <c r="E418" s="1339"/>
      <c r="F418" s="1339"/>
      <c r="G418" s="1339"/>
    </row>
    <row r="419" spans="1:7" s="278" customFormat="1">
      <c r="A419" s="475">
        <v>1</v>
      </c>
      <c r="B419" s="476" t="s">
        <v>470</v>
      </c>
      <c r="C419" s="477">
        <v>67200</v>
      </c>
      <c r="D419" s="1339"/>
      <c r="E419" s="1339"/>
      <c r="F419" s="1339"/>
      <c r="G419" s="1339"/>
    </row>
    <row r="420" spans="1:7" s="278" customFormat="1">
      <c r="A420" s="282">
        <v>2</v>
      </c>
      <c r="B420" s="648" t="s">
        <v>659</v>
      </c>
      <c r="C420" s="302">
        <v>48000</v>
      </c>
      <c r="D420" s="1339"/>
      <c r="E420" s="1339"/>
      <c r="F420" s="1339"/>
      <c r="G420" s="1339"/>
    </row>
    <row r="421" spans="1:7" s="278" customFormat="1">
      <c r="A421" s="282">
        <v>3</v>
      </c>
      <c r="B421" s="278" t="s">
        <v>660</v>
      </c>
      <c r="C421" s="302">
        <v>40000</v>
      </c>
      <c r="D421" s="1339"/>
      <c r="E421" s="1339"/>
      <c r="F421" s="1339"/>
      <c r="G421" s="1339"/>
    </row>
    <row r="422" spans="1:7" s="278" customFormat="1">
      <c r="A422" s="282">
        <v>4</v>
      </c>
      <c r="B422" s="649" t="s">
        <v>661</v>
      </c>
      <c r="C422" s="302">
        <v>24000</v>
      </c>
      <c r="D422" s="1339"/>
      <c r="E422" s="1339"/>
      <c r="F422" s="1339"/>
      <c r="G422" s="1339"/>
    </row>
    <row r="423" spans="1:7" s="278" customFormat="1">
      <c r="A423" s="282">
        <v>5</v>
      </c>
      <c r="B423" s="649" t="s">
        <v>662</v>
      </c>
      <c r="C423" s="302">
        <v>120000</v>
      </c>
      <c r="D423" s="1339"/>
      <c r="E423" s="1339"/>
      <c r="F423" s="1339"/>
      <c r="G423" s="1339"/>
    </row>
    <row r="424" spans="1:7" s="278" customFormat="1">
      <c r="A424" s="282">
        <v>6</v>
      </c>
      <c r="B424" s="278" t="s">
        <v>663</v>
      </c>
      <c r="C424" s="302">
        <v>9600</v>
      </c>
      <c r="D424" s="1339"/>
      <c r="E424" s="1339"/>
      <c r="F424" s="1339"/>
      <c r="G424" s="1339"/>
    </row>
    <row r="425" spans="1:7" s="278" customFormat="1">
      <c r="A425" s="282">
        <v>7</v>
      </c>
      <c r="B425" s="278" t="s">
        <v>664</v>
      </c>
      <c r="C425" s="302">
        <v>19200</v>
      </c>
      <c r="D425" s="1339"/>
      <c r="E425" s="1339"/>
      <c r="F425" s="1339"/>
      <c r="G425" s="1339"/>
    </row>
    <row r="426" spans="1:7" s="278" customFormat="1">
      <c r="A426" s="282">
        <v>8</v>
      </c>
      <c r="B426" s="278" t="s">
        <v>665</v>
      </c>
      <c r="C426" s="302">
        <v>48000</v>
      </c>
      <c r="D426" s="1339"/>
      <c r="E426" s="1339"/>
      <c r="F426" s="1339"/>
      <c r="G426" s="1339"/>
    </row>
    <row r="427" spans="1:7" s="278" customFormat="1">
      <c r="A427" s="282">
        <v>9</v>
      </c>
      <c r="B427" s="278" t="s">
        <v>657</v>
      </c>
      <c r="C427" s="302">
        <v>30000</v>
      </c>
      <c r="D427" s="1339"/>
      <c r="E427" s="1339"/>
      <c r="F427" s="1339"/>
      <c r="G427" s="1339"/>
    </row>
    <row r="428" spans="1:7" s="278" customFormat="1">
      <c r="A428" s="282">
        <v>10</v>
      </c>
      <c r="B428" s="310" t="s">
        <v>458</v>
      </c>
      <c r="C428" s="302">
        <v>40000</v>
      </c>
      <c r="D428" s="1339"/>
      <c r="E428" s="1339"/>
      <c r="F428" s="1339"/>
      <c r="G428" s="1339"/>
    </row>
    <row r="429" spans="1:7" s="278" customFormat="1" ht="21">
      <c r="A429" s="462"/>
      <c r="B429" s="291"/>
      <c r="C429" s="492">
        <f>SUM(C419:C428)</f>
        <v>446000</v>
      </c>
      <c r="D429" s="1339"/>
      <c r="E429" s="1339"/>
      <c r="F429" s="1339"/>
      <c r="G429" s="1339"/>
    </row>
    <row r="430" spans="1:7" s="278" customFormat="1" ht="39.75" customHeight="1">
      <c r="A430" s="652">
        <v>6.1</v>
      </c>
      <c r="B430" s="1458" t="s">
        <v>1016</v>
      </c>
      <c r="C430" s="1459"/>
      <c r="D430" s="1339"/>
      <c r="E430" s="1339"/>
      <c r="F430" s="1339"/>
      <c r="G430" s="1339"/>
    </row>
    <row r="431" spans="1:7" s="278" customFormat="1" ht="19.5" customHeight="1">
      <c r="A431" s="621"/>
      <c r="B431" s="622"/>
      <c r="C431" s="326" t="s">
        <v>1</v>
      </c>
      <c r="D431" s="1339"/>
      <c r="E431" s="1339"/>
      <c r="F431" s="1339"/>
      <c r="G431" s="1339"/>
    </row>
    <row r="432" spans="1:7" s="278" customFormat="1" ht="18" customHeight="1">
      <c r="A432" s="475">
        <v>1</v>
      </c>
      <c r="B432" s="476" t="s">
        <v>666</v>
      </c>
      <c r="C432" s="477">
        <v>67200</v>
      </c>
      <c r="D432" s="1339"/>
      <c r="E432" s="1339"/>
      <c r="F432" s="1339"/>
      <c r="G432" s="1339"/>
    </row>
    <row r="433" spans="1:7" s="278" customFormat="1" ht="18" customHeight="1">
      <c r="A433" s="282">
        <v>2</v>
      </c>
      <c r="B433" s="337" t="s">
        <v>659</v>
      </c>
      <c r="C433" s="302">
        <v>48000</v>
      </c>
      <c r="D433" s="1339"/>
      <c r="E433" s="1339"/>
      <c r="F433" s="1339"/>
      <c r="G433" s="1339"/>
    </row>
    <row r="434" spans="1:7" s="278" customFormat="1" ht="18" customHeight="1">
      <c r="A434" s="282">
        <v>3</v>
      </c>
      <c r="B434" s="278" t="s">
        <v>660</v>
      </c>
      <c r="C434" s="302">
        <v>40000</v>
      </c>
      <c r="D434" s="1339"/>
      <c r="E434" s="1339"/>
      <c r="F434" s="1339"/>
      <c r="G434" s="1339"/>
    </row>
    <row r="435" spans="1:7" s="278" customFormat="1" ht="18" customHeight="1">
      <c r="A435" s="282">
        <v>4</v>
      </c>
      <c r="B435" s="338" t="s">
        <v>667</v>
      </c>
      <c r="C435" s="302">
        <v>24000</v>
      </c>
      <c r="D435" s="1339"/>
      <c r="E435" s="1339"/>
      <c r="F435" s="1339"/>
      <c r="G435" s="1339"/>
    </row>
    <row r="436" spans="1:7" s="278" customFormat="1" ht="18" customHeight="1">
      <c r="A436" s="282">
        <v>5</v>
      </c>
      <c r="B436" s="338" t="s">
        <v>662</v>
      </c>
      <c r="C436" s="302">
        <v>120000</v>
      </c>
      <c r="D436" s="1339"/>
      <c r="E436" s="1339"/>
      <c r="F436" s="1339"/>
      <c r="G436" s="1339"/>
    </row>
    <row r="437" spans="1:7" s="278" customFormat="1" ht="18" customHeight="1">
      <c r="A437" s="282">
        <v>6</v>
      </c>
      <c r="B437" s="278" t="s">
        <v>668</v>
      </c>
      <c r="C437" s="302">
        <v>38400</v>
      </c>
      <c r="D437" s="1339"/>
      <c r="E437" s="1339"/>
      <c r="F437" s="1339"/>
      <c r="G437" s="1339"/>
    </row>
    <row r="438" spans="1:7" s="278" customFormat="1" ht="18" customHeight="1">
      <c r="A438" s="282">
        <v>7</v>
      </c>
      <c r="B438" s="278" t="s">
        <v>669</v>
      </c>
      <c r="C438" s="302">
        <v>19200</v>
      </c>
      <c r="D438" s="1339"/>
      <c r="E438" s="1339"/>
      <c r="F438" s="1339"/>
      <c r="G438" s="1339"/>
    </row>
    <row r="439" spans="1:7" s="278" customFormat="1" ht="18" customHeight="1">
      <c r="A439" s="282">
        <v>8</v>
      </c>
      <c r="B439" s="278" t="s">
        <v>443</v>
      </c>
      <c r="C439" s="302">
        <v>48000</v>
      </c>
      <c r="D439" s="1339"/>
      <c r="E439" s="1339"/>
      <c r="F439" s="1339"/>
      <c r="G439" s="1339"/>
    </row>
    <row r="440" spans="1:7" s="278" customFormat="1" ht="18" customHeight="1">
      <c r="A440" s="282">
        <v>9</v>
      </c>
      <c r="B440" s="278" t="s">
        <v>477</v>
      </c>
      <c r="C440" s="302">
        <v>75000</v>
      </c>
      <c r="D440" s="1339"/>
      <c r="E440" s="1339"/>
      <c r="F440" s="1339"/>
      <c r="G440" s="1339"/>
    </row>
    <row r="441" spans="1:7" s="278" customFormat="1" ht="18" customHeight="1">
      <c r="A441" s="282">
        <v>10</v>
      </c>
      <c r="B441" s="310" t="s">
        <v>670</v>
      </c>
      <c r="C441" s="302">
        <v>40000</v>
      </c>
      <c r="D441" s="1339"/>
      <c r="E441" s="1339"/>
      <c r="F441" s="1339"/>
      <c r="G441" s="1339"/>
    </row>
    <row r="442" spans="1:7" s="278" customFormat="1" ht="21">
      <c r="A442" s="282"/>
      <c r="B442" s="285"/>
      <c r="C442" s="425">
        <f>SUM(C431:C441)</f>
        <v>519800</v>
      </c>
      <c r="D442" s="1339"/>
      <c r="E442" s="1339"/>
      <c r="F442" s="1339"/>
      <c r="G442" s="1339"/>
    </row>
    <row r="443" spans="1:7" s="278" customFormat="1">
      <c r="A443" s="426">
        <v>6.11</v>
      </c>
      <c r="B443" s="427" t="s">
        <v>671</v>
      </c>
      <c r="C443" s="428"/>
      <c r="D443" s="1339"/>
      <c r="E443" s="1339"/>
      <c r="F443" s="1339"/>
      <c r="G443" s="1339"/>
    </row>
    <row r="444" spans="1:7" s="349" customFormat="1" ht="15" customHeight="1">
      <c r="A444" s="459"/>
      <c r="B444" s="619"/>
      <c r="C444" s="380" t="s">
        <v>1</v>
      </c>
      <c r="D444" s="1344"/>
      <c r="E444" s="1344"/>
      <c r="F444" s="1344"/>
      <c r="G444" s="1344"/>
    </row>
    <row r="445" spans="1:7" s="278" customFormat="1" ht="19.5" customHeight="1">
      <c r="A445" s="282">
        <v>1</v>
      </c>
      <c r="B445" s="429" t="s">
        <v>672</v>
      </c>
      <c r="C445" s="286">
        <v>100000</v>
      </c>
      <c r="D445" s="1339"/>
      <c r="E445" s="1339"/>
      <c r="F445" s="1339"/>
      <c r="G445" s="1339"/>
    </row>
    <row r="446" spans="1:7" s="278" customFormat="1" ht="18" customHeight="1">
      <c r="A446" s="282">
        <v>2</v>
      </c>
      <c r="B446" s="285" t="s">
        <v>673</v>
      </c>
      <c r="C446" s="302">
        <v>100000</v>
      </c>
      <c r="D446" s="1339"/>
      <c r="E446" s="1339"/>
      <c r="F446" s="1339"/>
      <c r="G446" s="1339"/>
    </row>
    <row r="447" spans="1:7" s="278" customFormat="1" ht="20.25" customHeight="1">
      <c r="A447" s="282">
        <v>3</v>
      </c>
      <c r="B447" s="285" t="s">
        <v>674</v>
      </c>
      <c r="C447" s="302">
        <v>96000</v>
      </c>
      <c r="D447" s="1339"/>
      <c r="E447" s="1339"/>
      <c r="F447" s="1339"/>
      <c r="G447" s="1339"/>
    </row>
    <row r="448" spans="1:7" s="278" customFormat="1" ht="20.25" customHeight="1">
      <c r="A448" s="282">
        <v>4</v>
      </c>
      <c r="B448" s="283" t="s">
        <v>675</v>
      </c>
      <c r="C448" s="302">
        <v>80000</v>
      </c>
      <c r="D448" s="1339"/>
      <c r="E448" s="1339"/>
      <c r="F448" s="1339"/>
      <c r="G448" s="1339"/>
    </row>
    <row r="449" spans="1:7" s="278" customFormat="1" ht="20.25" customHeight="1">
      <c r="A449" s="282">
        <v>5</v>
      </c>
      <c r="B449" s="283" t="s">
        <v>676</v>
      </c>
      <c r="C449" s="302">
        <v>80000</v>
      </c>
      <c r="D449" s="1339"/>
      <c r="E449" s="1339"/>
      <c r="F449" s="1339"/>
      <c r="G449" s="1339"/>
    </row>
    <row r="450" spans="1:7" s="278" customFormat="1" ht="20.25" customHeight="1">
      <c r="A450" s="282">
        <v>6</v>
      </c>
      <c r="B450" s="285" t="s">
        <v>677</v>
      </c>
      <c r="C450" s="302">
        <v>80000</v>
      </c>
      <c r="D450" s="1339"/>
      <c r="E450" s="1339"/>
      <c r="F450" s="1339"/>
      <c r="G450" s="1339"/>
    </row>
    <row r="451" spans="1:7" s="278" customFormat="1" ht="20.25" customHeight="1">
      <c r="A451" s="282">
        <v>7</v>
      </c>
      <c r="B451" s="283" t="s">
        <v>678</v>
      </c>
      <c r="C451" s="302">
        <v>80000</v>
      </c>
      <c r="D451" s="1339"/>
      <c r="E451" s="1339"/>
      <c r="F451" s="1339"/>
      <c r="G451" s="1339"/>
    </row>
    <row r="452" spans="1:7" s="278" customFormat="1" ht="20.25" customHeight="1">
      <c r="A452" s="282">
        <v>8</v>
      </c>
      <c r="B452" s="285" t="s">
        <v>679</v>
      </c>
      <c r="C452" s="302">
        <v>80000</v>
      </c>
      <c r="D452" s="1339"/>
      <c r="E452" s="1339"/>
      <c r="F452" s="1339"/>
      <c r="G452" s="1339"/>
    </row>
    <row r="453" spans="1:7" s="278" customFormat="1" ht="20.25" customHeight="1">
      <c r="A453" s="462"/>
      <c r="B453" s="291"/>
      <c r="C453" s="468">
        <f>SUM(C445:C452)</f>
        <v>696000</v>
      </c>
      <c r="D453" s="1339"/>
      <c r="E453" s="1339"/>
      <c r="F453" s="1339"/>
      <c r="G453" s="1339"/>
    </row>
    <row r="454" spans="1:7" s="278" customFormat="1" ht="18" customHeight="1">
      <c r="A454" s="426">
        <v>6.12</v>
      </c>
      <c r="B454" s="431" t="s">
        <v>680</v>
      </c>
      <c r="C454" s="428"/>
      <c r="D454" s="1339"/>
      <c r="E454" s="1339"/>
      <c r="F454" s="1339"/>
      <c r="G454" s="1339"/>
    </row>
    <row r="455" spans="1:7" s="349" customFormat="1" ht="18" customHeight="1">
      <c r="A455" s="459"/>
      <c r="B455" s="619"/>
      <c r="C455" s="380" t="s">
        <v>1</v>
      </c>
      <c r="D455" s="1344"/>
      <c r="E455" s="1344"/>
      <c r="F455" s="1344"/>
      <c r="G455" s="1344"/>
    </row>
    <row r="456" spans="1:7" s="278" customFormat="1">
      <c r="A456" s="282">
        <v>1</v>
      </c>
      <c r="B456" s="337" t="s">
        <v>681</v>
      </c>
      <c r="C456" s="302">
        <v>80000</v>
      </c>
      <c r="D456" s="1339"/>
      <c r="E456" s="1339"/>
      <c r="F456" s="1339"/>
      <c r="G456" s="1339"/>
    </row>
    <row r="457" spans="1:7" s="278" customFormat="1">
      <c r="A457" s="282">
        <v>2</v>
      </c>
      <c r="B457" s="278" t="s">
        <v>660</v>
      </c>
      <c r="C457" s="302">
        <v>40000</v>
      </c>
      <c r="D457" s="1339"/>
      <c r="E457" s="1339"/>
      <c r="F457" s="1339"/>
      <c r="G457" s="1339"/>
    </row>
    <row r="458" spans="1:7" s="349" customFormat="1">
      <c r="A458" s="282">
        <v>3</v>
      </c>
      <c r="B458" s="338" t="s">
        <v>682</v>
      </c>
      <c r="C458" s="302">
        <v>40000</v>
      </c>
      <c r="D458" s="1339"/>
      <c r="E458" s="1339"/>
      <c r="F458" s="1344"/>
      <c r="G458" s="1344"/>
    </row>
    <row r="459" spans="1:7" s="278" customFormat="1">
      <c r="A459" s="282">
        <v>4</v>
      </c>
      <c r="B459" s="338" t="s">
        <v>683</v>
      </c>
      <c r="C459" s="302">
        <v>200000</v>
      </c>
      <c r="D459" s="1339"/>
      <c r="E459" s="1339"/>
      <c r="F459" s="1339"/>
      <c r="G459" s="1339"/>
    </row>
    <row r="460" spans="1:7" s="278" customFormat="1">
      <c r="A460" s="282">
        <v>5</v>
      </c>
      <c r="B460" s="278" t="s">
        <v>684</v>
      </c>
      <c r="C460" s="302">
        <v>19200</v>
      </c>
      <c r="D460" s="1339"/>
      <c r="E460" s="1339"/>
      <c r="F460" s="1339"/>
      <c r="G460" s="1339"/>
    </row>
    <row r="461" spans="1:7" s="278" customFormat="1" ht="18" customHeight="1">
      <c r="A461" s="282">
        <v>7</v>
      </c>
      <c r="B461" s="278" t="s">
        <v>443</v>
      </c>
      <c r="C461" s="302">
        <v>48000</v>
      </c>
      <c r="D461" s="1339"/>
      <c r="E461" s="1339"/>
      <c r="F461" s="1339"/>
      <c r="G461" s="1339"/>
    </row>
    <row r="462" spans="1:7" s="278" customFormat="1" ht="18" customHeight="1">
      <c r="A462" s="282">
        <v>6</v>
      </c>
      <c r="B462" s="278" t="s">
        <v>477</v>
      </c>
      <c r="C462" s="302">
        <v>75000</v>
      </c>
      <c r="D462" s="1339"/>
      <c r="E462" s="1339"/>
      <c r="F462" s="1339"/>
      <c r="G462" s="1339"/>
    </row>
    <row r="463" spans="1:7" s="278" customFormat="1" ht="18.75" customHeight="1">
      <c r="A463" s="282">
        <v>7</v>
      </c>
      <c r="B463" s="310" t="s">
        <v>458</v>
      </c>
      <c r="C463" s="302">
        <v>40000</v>
      </c>
      <c r="D463" s="1339"/>
      <c r="E463" s="1339"/>
      <c r="F463" s="1339"/>
      <c r="G463" s="1339"/>
    </row>
    <row r="464" spans="1:7" s="278" customFormat="1">
      <c r="A464" s="282">
        <v>8</v>
      </c>
      <c r="B464" s="283" t="s">
        <v>685</v>
      </c>
      <c r="C464" s="286">
        <v>160000</v>
      </c>
      <c r="D464" s="1339"/>
      <c r="E464" s="1339"/>
      <c r="F464" s="1339"/>
      <c r="G464" s="1339"/>
    </row>
    <row r="465" spans="1:7" s="278" customFormat="1">
      <c r="A465" s="282">
        <v>9</v>
      </c>
      <c r="B465" s="283" t="s">
        <v>686</v>
      </c>
      <c r="C465" s="286">
        <v>800000</v>
      </c>
      <c r="D465" s="1339"/>
      <c r="E465" s="1339"/>
      <c r="F465" s="1339"/>
      <c r="G465" s="1339"/>
    </row>
    <row r="466" spans="1:7" s="278" customFormat="1">
      <c r="A466" s="282">
        <v>10</v>
      </c>
      <c r="B466" s="283" t="s">
        <v>687</v>
      </c>
      <c r="C466" s="286">
        <v>800000</v>
      </c>
      <c r="D466" s="1339"/>
      <c r="E466" s="1339"/>
      <c r="F466" s="1339"/>
      <c r="G466" s="1339"/>
    </row>
    <row r="467" spans="1:7" s="278" customFormat="1">
      <c r="A467" s="282">
        <v>11</v>
      </c>
      <c r="B467" s="283" t="s">
        <v>688</v>
      </c>
      <c r="C467" s="286">
        <v>160000</v>
      </c>
      <c r="D467" s="1339"/>
      <c r="E467" s="1339"/>
      <c r="F467" s="1339"/>
      <c r="G467" s="1339"/>
    </row>
    <row r="468" spans="1:7" s="278" customFormat="1" ht="21">
      <c r="A468" s="462"/>
      <c r="B468" s="493"/>
      <c r="C468" s="492">
        <f>SUM(C456:C467)</f>
        <v>2462200</v>
      </c>
      <c r="D468" s="1339"/>
      <c r="E468" s="1344"/>
      <c r="F468" s="1339"/>
      <c r="G468" s="1339"/>
    </row>
    <row r="469" spans="1:7" s="278" customFormat="1" ht="39" customHeight="1">
      <c r="A469" s="378">
        <v>6.13</v>
      </c>
      <c r="B469" s="1462" t="s">
        <v>1017</v>
      </c>
      <c r="C469" s="1463"/>
      <c r="D469" s="1339"/>
      <c r="E469" s="1339"/>
      <c r="F469" s="1339"/>
      <c r="G469" s="1339"/>
    </row>
    <row r="470" spans="1:7" s="349" customFormat="1">
      <c r="A470" s="327"/>
      <c r="B470" s="379"/>
      <c r="C470" s="628" t="s">
        <v>1</v>
      </c>
      <c r="D470" s="1344"/>
      <c r="E470" s="1344"/>
      <c r="F470" s="1344"/>
      <c r="G470" s="1344"/>
    </row>
    <row r="471" spans="1:7" s="278" customFormat="1">
      <c r="A471" s="344">
        <v>1</v>
      </c>
      <c r="B471" s="345" t="s">
        <v>689</v>
      </c>
      <c r="C471" s="432">
        <v>38400</v>
      </c>
      <c r="D471" s="1339"/>
      <c r="E471" s="1339"/>
      <c r="F471" s="1339"/>
      <c r="G471" s="1339"/>
    </row>
    <row r="472" spans="1:7" s="278" customFormat="1">
      <c r="A472" s="344">
        <v>2</v>
      </c>
      <c r="B472" s="345" t="s">
        <v>690</v>
      </c>
      <c r="C472" s="432">
        <v>96000</v>
      </c>
      <c r="D472" s="1339"/>
      <c r="E472" s="1339"/>
      <c r="F472" s="1339"/>
      <c r="G472" s="1339"/>
    </row>
    <row r="473" spans="1:7" s="278" customFormat="1">
      <c r="A473" s="344">
        <v>3</v>
      </c>
      <c r="B473" s="433" t="s">
        <v>691</v>
      </c>
      <c r="C473" s="432">
        <v>40000</v>
      </c>
      <c r="D473" s="1339"/>
      <c r="E473" s="1339"/>
      <c r="F473" s="1339"/>
      <c r="G473" s="1339"/>
    </row>
    <row r="474" spans="1:7" s="278" customFormat="1" ht="18" customHeight="1">
      <c r="A474" s="282">
        <v>8</v>
      </c>
      <c r="B474" s="278" t="s">
        <v>477</v>
      </c>
      <c r="C474" s="302">
        <v>75000</v>
      </c>
      <c r="D474" s="1339"/>
      <c r="E474" s="1339"/>
      <c r="F474" s="1339"/>
      <c r="G474" s="1339"/>
    </row>
    <row r="475" spans="1:7" s="278" customFormat="1">
      <c r="A475" s="344">
        <v>4</v>
      </c>
      <c r="B475" s="433" t="s">
        <v>692</v>
      </c>
      <c r="C475" s="432">
        <v>80000</v>
      </c>
      <c r="D475" s="1339"/>
      <c r="E475" s="1339"/>
      <c r="F475" s="1339"/>
      <c r="G475" s="1339"/>
    </row>
    <row r="476" spans="1:7" s="278" customFormat="1" ht="21">
      <c r="A476" s="434"/>
      <c r="B476" s="653"/>
      <c r="C476" s="435">
        <f>SUM(C471:C475)</f>
        <v>329400</v>
      </c>
      <c r="D476" s="1339"/>
      <c r="E476" s="1339"/>
      <c r="F476" s="1339"/>
      <c r="G476" s="1339"/>
    </row>
    <row r="477" spans="1:7" s="278" customFormat="1" ht="18" customHeight="1">
      <c r="A477" s="462"/>
      <c r="B477" s="493"/>
      <c r="C477" s="568"/>
      <c r="D477" s="1339"/>
      <c r="E477" s="1339"/>
      <c r="F477" s="1339"/>
      <c r="G477" s="1339"/>
    </row>
    <row r="478" spans="1:7" s="278" customFormat="1" ht="38.25" customHeight="1">
      <c r="A478" s="426">
        <v>6.14</v>
      </c>
      <c r="B478" s="1462" t="s">
        <v>1018</v>
      </c>
      <c r="C478" s="1463"/>
      <c r="D478" s="1339"/>
      <c r="E478" s="1339"/>
      <c r="F478" s="1339"/>
      <c r="G478" s="1339"/>
    </row>
    <row r="479" spans="1:7" s="278" customFormat="1">
      <c r="A479" s="327"/>
      <c r="B479" s="608"/>
      <c r="C479" s="647" t="s">
        <v>1</v>
      </c>
      <c r="D479" s="1339"/>
      <c r="E479" s="1339"/>
      <c r="F479" s="1339"/>
      <c r="G479" s="1339"/>
    </row>
    <row r="480" spans="1:7" s="278" customFormat="1" ht="18" customHeight="1">
      <c r="A480" s="282">
        <v>1</v>
      </c>
      <c r="B480" s="283" t="s">
        <v>693</v>
      </c>
      <c r="C480" s="432">
        <v>120000</v>
      </c>
      <c r="D480" s="1339"/>
      <c r="E480" s="1339"/>
      <c r="F480" s="1339"/>
      <c r="G480" s="1339"/>
    </row>
    <row r="481" spans="1:7" s="278" customFormat="1" ht="18" customHeight="1">
      <c r="A481" s="282">
        <v>2</v>
      </c>
      <c r="B481" s="283" t="s">
        <v>694</v>
      </c>
      <c r="C481" s="432">
        <v>40000</v>
      </c>
      <c r="D481" s="1339"/>
      <c r="E481" s="1339"/>
      <c r="F481" s="1339"/>
      <c r="G481" s="1339"/>
    </row>
    <row r="482" spans="1:7" s="349" customFormat="1" ht="18" customHeight="1">
      <c r="A482" s="282">
        <v>3</v>
      </c>
      <c r="B482" s="283" t="s">
        <v>695</v>
      </c>
      <c r="C482" s="432">
        <v>80000</v>
      </c>
      <c r="D482" s="1344"/>
      <c r="E482" s="1344"/>
      <c r="F482" s="1344"/>
      <c r="G482" s="1344"/>
    </row>
    <row r="483" spans="1:7" s="278" customFormat="1" ht="18" customHeight="1">
      <c r="A483" s="282">
        <v>4</v>
      </c>
      <c r="B483" s="283" t="s">
        <v>696</v>
      </c>
      <c r="C483" s="432">
        <v>40000</v>
      </c>
      <c r="D483" s="1339"/>
      <c r="E483" s="1339"/>
      <c r="F483" s="1339"/>
      <c r="G483" s="1339"/>
    </row>
    <row r="484" spans="1:7" s="349" customFormat="1">
      <c r="A484" s="282">
        <v>5</v>
      </c>
      <c r="B484" s="338" t="s">
        <v>697</v>
      </c>
      <c r="C484" s="302">
        <v>40000</v>
      </c>
      <c r="D484" s="1339"/>
      <c r="E484" s="1339"/>
      <c r="F484" s="1344"/>
      <c r="G484" s="1344"/>
    </row>
    <row r="485" spans="1:7" s="278" customFormat="1">
      <c r="A485" s="282">
        <v>6</v>
      </c>
      <c r="B485" s="338" t="s">
        <v>490</v>
      </c>
      <c r="C485" s="302">
        <v>200000</v>
      </c>
      <c r="D485" s="1339"/>
      <c r="E485" s="1339"/>
      <c r="F485" s="1339"/>
      <c r="G485" s="1339"/>
    </row>
    <row r="486" spans="1:7" s="278" customFormat="1">
      <c r="A486" s="282">
        <v>7</v>
      </c>
      <c r="B486" s="345" t="s">
        <v>689</v>
      </c>
      <c r="C486" s="432">
        <v>38400</v>
      </c>
      <c r="D486" s="1339"/>
      <c r="E486" s="1339"/>
      <c r="F486" s="1339"/>
      <c r="G486" s="1339"/>
    </row>
    <row r="487" spans="1:7" s="278" customFormat="1">
      <c r="A487" s="282">
        <v>8</v>
      </c>
      <c r="B487" s="345" t="s">
        <v>698</v>
      </c>
      <c r="C487" s="432">
        <v>96000</v>
      </c>
      <c r="D487" s="1339"/>
      <c r="E487" s="1339"/>
      <c r="F487" s="1339"/>
      <c r="G487" s="1339"/>
    </row>
    <row r="488" spans="1:7" s="278" customFormat="1" ht="18" customHeight="1">
      <c r="A488" s="282">
        <v>9</v>
      </c>
      <c r="B488" s="278" t="s">
        <v>477</v>
      </c>
      <c r="C488" s="302">
        <v>75000</v>
      </c>
      <c r="D488" s="1339"/>
      <c r="E488" s="1339"/>
      <c r="F488" s="1339"/>
      <c r="G488" s="1339"/>
    </row>
    <row r="489" spans="1:7" s="278" customFormat="1" ht="18" customHeight="1">
      <c r="A489" s="282">
        <v>10</v>
      </c>
      <c r="B489" s="283" t="s">
        <v>458</v>
      </c>
      <c r="C489" s="432">
        <v>40000</v>
      </c>
      <c r="D489" s="1339"/>
      <c r="E489" s="1339"/>
      <c r="F489" s="1339"/>
      <c r="G489" s="1339"/>
    </row>
    <row r="490" spans="1:7" s="278" customFormat="1" ht="18" customHeight="1">
      <c r="A490" s="282">
        <v>11</v>
      </c>
      <c r="B490" s="283" t="s">
        <v>699</v>
      </c>
      <c r="C490" s="432">
        <v>80000</v>
      </c>
      <c r="D490" s="1339"/>
      <c r="E490" s="1339"/>
      <c r="F490" s="1339"/>
      <c r="G490" s="1339"/>
    </row>
    <row r="491" spans="1:7" s="278" customFormat="1" ht="18" customHeight="1">
      <c r="A491" s="282">
        <v>12</v>
      </c>
      <c r="B491" s="283" t="s">
        <v>700</v>
      </c>
      <c r="C491" s="432">
        <v>8120</v>
      </c>
      <c r="D491" s="1339"/>
      <c r="E491" s="1339"/>
      <c r="F491" s="1339"/>
      <c r="G491" s="1339"/>
    </row>
    <row r="492" spans="1:7" s="278" customFormat="1" ht="18" customHeight="1">
      <c r="A492" s="282">
        <v>13</v>
      </c>
      <c r="B492" s="283" t="s">
        <v>701</v>
      </c>
      <c r="C492" s="432">
        <v>80000</v>
      </c>
      <c r="D492" s="1339"/>
      <c r="E492" s="1339"/>
      <c r="F492" s="1339"/>
      <c r="G492" s="1339"/>
    </row>
    <row r="493" spans="1:7" s="278" customFormat="1" ht="18" customHeight="1">
      <c r="A493" s="282">
        <v>14</v>
      </c>
      <c r="B493" s="283" t="s">
        <v>702</v>
      </c>
      <c r="C493" s="432">
        <v>4000</v>
      </c>
      <c r="D493" s="1339"/>
      <c r="E493" s="1339"/>
      <c r="F493" s="1339"/>
      <c r="G493" s="1339"/>
    </row>
    <row r="494" spans="1:7" s="278" customFormat="1" ht="18" customHeight="1">
      <c r="A494" s="282">
        <v>15</v>
      </c>
      <c r="B494" s="283" t="s">
        <v>703</v>
      </c>
      <c r="C494" s="432">
        <v>240000</v>
      </c>
      <c r="D494" s="1339"/>
      <c r="E494" s="1339"/>
      <c r="F494" s="1339"/>
      <c r="G494" s="1339"/>
    </row>
    <row r="495" spans="1:7" s="278" customFormat="1" ht="21">
      <c r="A495" s="282"/>
      <c r="B495" s="283"/>
      <c r="C495" s="425">
        <f>SUM(C480:C494)</f>
        <v>1181520</v>
      </c>
      <c r="D495" s="1339"/>
      <c r="E495" s="1339"/>
      <c r="F495" s="1339"/>
      <c r="G495" s="1339"/>
    </row>
    <row r="496" spans="1:7" s="278" customFormat="1" ht="21">
      <c r="A496" s="282"/>
      <c r="B496" s="283"/>
      <c r="C496" s="492"/>
      <c r="D496" s="1339"/>
      <c r="E496" s="1339"/>
      <c r="F496" s="1339"/>
      <c r="G496" s="1339"/>
    </row>
    <row r="497" spans="1:7" s="278" customFormat="1" ht="18" customHeight="1">
      <c r="A497" s="426">
        <v>6.15</v>
      </c>
      <c r="B497" s="427" t="s">
        <v>18</v>
      </c>
      <c r="C497" s="428"/>
      <c r="D497" s="1339"/>
      <c r="E497" s="1339"/>
      <c r="F497" s="1339"/>
      <c r="G497" s="1339"/>
    </row>
    <row r="498" spans="1:7" s="278" customFormat="1" ht="18" customHeight="1">
      <c r="A498" s="282"/>
      <c r="B498" s="608"/>
      <c r="C498" s="647" t="s">
        <v>1</v>
      </c>
      <c r="D498" s="1339"/>
      <c r="E498" s="1339"/>
      <c r="F498" s="1339"/>
      <c r="G498" s="1339"/>
    </row>
    <row r="499" spans="1:7" s="278" customFormat="1" ht="18" customHeight="1">
      <c r="A499" s="282"/>
      <c r="B499" s="283" t="s">
        <v>704</v>
      </c>
      <c r="C499" s="432">
        <v>5000</v>
      </c>
      <c r="D499" s="1339"/>
      <c r="E499" s="1339"/>
      <c r="F499" s="1339"/>
      <c r="G499" s="1339"/>
    </row>
    <row r="500" spans="1:7" s="278" customFormat="1" ht="21" customHeight="1">
      <c r="A500" s="282"/>
      <c r="B500" s="283" t="s">
        <v>705</v>
      </c>
      <c r="C500" s="432">
        <v>8000</v>
      </c>
      <c r="D500" s="1339"/>
      <c r="E500" s="1339"/>
      <c r="F500" s="1339"/>
      <c r="G500" s="1339"/>
    </row>
    <row r="501" spans="1:7" s="278" customFormat="1" ht="42" customHeight="1">
      <c r="A501" s="282"/>
      <c r="B501" s="285" t="s">
        <v>706</v>
      </c>
      <c r="C501" s="432">
        <v>8000</v>
      </c>
      <c r="D501" s="1339"/>
      <c r="E501" s="1339"/>
      <c r="F501" s="1339"/>
      <c r="G501" s="1339"/>
    </row>
    <row r="502" spans="1:7" ht="38.25" customHeight="1">
      <c r="A502" s="282"/>
      <c r="B502" s="285" t="s">
        <v>707</v>
      </c>
      <c r="C502" s="432">
        <v>8000</v>
      </c>
    </row>
    <row r="503" spans="1:7" ht="34.5" customHeight="1">
      <c r="A503" s="462"/>
      <c r="B503" s="291"/>
      <c r="C503" s="677"/>
    </row>
    <row r="504" spans="1:7">
      <c r="A504" s="475"/>
      <c r="B504" s="683" t="s">
        <v>23</v>
      </c>
      <c r="C504" s="475"/>
    </row>
    <row r="505" spans="1:7">
      <c r="A505" s="654"/>
      <c r="B505" s="283" t="s">
        <v>708</v>
      </c>
      <c r="C505" s="432">
        <v>8000</v>
      </c>
    </row>
    <row r="506" spans="1:7">
      <c r="A506" s="282"/>
      <c r="B506" s="283" t="s">
        <v>709</v>
      </c>
      <c r="C506" s="432">
        <v>320000</v>
      </c>
    </row>
    <row r="507" spans="1:7">
      <c r="A507" s="282"/>
      <c r="B507" s="283" t="s">
        <v>710</v>
      </c>
      <c r="C507" s="432">
        <v>320000</v>
      </c>
    </row>
    <row r="508" spans="1:7" ht="21">
      <c r="A508" s="282"/>
      <c r="B508" s="285"/>
      <c r="C508" s="425">
        <f>SUM(C499:C507)</f>
        <v>677000</v>
      </c>
    </row>
    <row r="509" spans="1:7">
      <c r="A509" s="462"/>
      <c r="B509" s="291"/>
      <c r="C509" s="568"/>
    </row>
    <row r="510" spans="1:7">
      <c r="A510" s="1419" t="s">
        <v>4</v>
      </c>
      <c r="B510" s="1420"/>
      <c r="C510" s="438">
        <f>C19+C32+C52+C116+C131+C141+C182+C207+C229+C256+C291+C333+C377+C405+C415+C429+C442+C453+C468+C476+C495+C508</f>
        <v>28000000</v>
      </c>
    </row>
    <row r="511" spans="1:7">
      <c r="A511" s="1446" t="s">
        <v>711</v>
      </c>
      <c r="B511" s="1447"/>
      <c r="C511" s="439"/>
    </row>
    <row r="512" spans="1:7">
      <c r="A512" s="440"/>
      <c r="B512" s="441"/>
      <c r="C512" s="442"/>
    </row>
  </sheetData>
  <mergeCells count="27">
    <mergeCell ref="B381:C381"/>
    <mergeCell ref="B382:C382"/>
    <mergeCell ref="B469:C469"/>
    <mergeCell ref="B478:C478"/>
    <mergeCell ref="B281:C281"/>
    <mergeCell ref="B384:C384"/>
    <mergeCell ref="B385:C385"/>
    <mergeCell ref="B393:C393"/>
    <mergeCell ref="B406:C406"/>
    <mergeCell ref="B430:C430"/>
    <mergeCell ref="B417:C417"/>
    <mergeCell ref="A510:B510"/>
    <mergeCell ref="A511:B511"/>
    <mergeCell ref="A1:C1"/>
    <mergeCell ref="A4:C4"/>
    <mergeCell ref="A21:B21"/>
    <mergeCell ref="B142:C142"/>
    <mergeCell ref="B132:C132"/>
    <mergeCell ref="B143:C143"/>
    <mergeCell ref="B107:C107"/>
    <mergeCell ref="B117:C117"/>
    <mergeCell ref="B159:C159"/>
    <mergeCell ref="B183:C183"/>
    <mergeCell ref="B257:C257"/>
    <mergeCell ref="B259:C259"/>
    <mergeCell ref="B260:C260"/>
    <mergeCell ref="B261:C261"/>
  </mergeCells>
  <pageMargins left="0.7" right="0.45" top="0.75" bottom="0.75" header="0.3" footer="0.3"/>
  <pageSetup paperSize="9" orientation="portrait" r:id="rId1"/>
  <rowBreaks count="5" manualBreakCount="5">
    <brk id="33" max="16383" man="1"/>
    <brk id="68" max="16383" man="1"/>
    <brk id="106" max="16383" man="1"/>
    <brk id="141" max="16383" man="1"/>
    <brk id="212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373"/>
  <sheetViews>
    <sheetView workbookViewId="0">
      <selection sqref="A1:C1"/>
    </sheetView>
  </sheetViews>
  <sheetFormatPr defaultColWidth="9" defaultRowHeight="18.75"/>
  <cols>
    <col min="1" max="1" width="6.875" style="443" customWidth="1"/>
    <col min="2" max="2" width="54" style="444" customWidth="1"/>
    <col min="3" max="3" width="18.875" style="445" customWidth="1"/>
    <col min="4" max="7" width="9" style="1338"/>
    <col min="8" max="16384" width="9" style="274"/>
  </cols>
  <sheetData>
    <row r="1" spans="1:7" ht="23.25">
      <c r="A1" s="1478" t="s">
        <v>994</v>
      </c>
      <c r="B1" s="1478"/>
      <c r="C1" s="1478"/>
    </row>
    <row r="2" spans="1:7" ht="48" customHeight="1">
      <c r="A2" s="275"/>
      <c r="B2" s="276" t="s">
        <v>712</v>
      </c>
      <c r="C2" s="277" t="s">
        <v>1000</v>
      </c>
    </row>
    <row r="3" spans="1:7" s="278" customFormat="1">
      <c r="A3" s="1479" t="s">
        <v>6</v>
      </c>
      <c r="B3" s="1480"/>
      <c r="C3" s="1481"/>
      <c r="D3" s="1339"/>
      <c r="E3" s="1339"/>
      <c r="F3" s="1339"/>
      <c r="G3" s="1339"/>
    </row>
    <row r="4" spans="1:7" s="278" customFormat="1" ht="18.75" customHeight="1">
      <c r="A4" s="279">
        <v>1</v>
      </c>
      <c r="B4" s="280" t="s">
        <v>3</v>
      </c>
      <c r="C4" s="281"/>
      <c r="D4" s="1339"/>
      <c r="E4" s="1339"/>
      <c r="F4" s="1339"/>
      <c r="G4" s="1339"/>
    </row>
    <row r="5" spans="1:7" s="278" customFormat="1" ht="27" customHeight="1">
      <c r="A5" s="282"/>
      <c r="B5" s="283"/>
      <c r="C5" s="284" t="s">
        <v>7</v>
      </c>
      <c r="D5" s="1339"/>
      <c r="E5" s="1339"/>
      <c r="F5" s="1339"/>
      <c r="G5" s="1339"/>
    </row>
    <row r="6" spans="1:7" s="278" customFormat="1" ht="37.5">
      <c r="A6" s="282">
        <v>1</v>
      </c>
      <c r="B6" s="285" t="s">
        <v>1887</v>
      </c>
      <c r="C6" s="286">
        <v>165000</v>
      </c>
      <c r="D6" s="1351">
        <v>1</v>
      </c>
      <c r="E6" s="742" t="s">
        <v>1833</v>
      </c>
      <c r="F6" s="1352">
        <v>3</v>
      </c>
      <c r="G6" s="1353">
        <v>55000</v>
      </c>
    </row>
    <row r="7" spans="1:7" s="278" customFormat="1" ht="37.5">
      <c r="A7" s="282">
        <v>2</v>
      </c>
      <c r="B7" s="287" t="s">
        <v>1889</v>
      </c>
      <c r="C7" s="286">
        <v>108000</v>
      </c>
      <c r="D7" s="1354">
        <v>1</v>
      </c>
      <c r="E7" s="742" t="s">
        <v>1834</v>
      </c>
      <c r="F7" s="1352">
        <v>3</v>
      </c>
      <c r="G7" s="1353">
        <v>36000</v>
      </c>
    </row>
    <row r="8" spans="1:7" s="278" customFormat="1" ht="37.5">
      <c r="A8" s="282">
        <v>3</v>
      </c>
      <c r="B8" s="287" t="s">
        <v>1888</v>
      </c>
      <c r="C8" s="286">
        <v>108000</v>
      </c>
      <c r="D8" s="1354">
        <v>1</v>
      </c>
      <c r="E8" s="742" t="s">
        <v>1834</v>
      </c>
      <c r="F8" s="1352">
        <v>3</v>
      </c>
      <c r="G8" s="1353">
        <v>36000</v>
      </c>
    </row>
    <row r="9" spans="1:7" s="278" customFormat="1" ht="37.5">
      <c r="A9" s="282">
        <v>4</v>
      </c>
      <c r="B9" s="285" t="s">
        <v>1890</v>
      </c>
      <c r="C9" s="286">
        <v>108000</v>
      </c>
      <c r="D9" s="1354">
        <v>1</v>
      </c>
      <c r="E9" s="742" t="s">
        <v>1834</v>
      </c>
      <c r="F9" s="1352">
        <v>3</v>
      </c>
      <c r="G9" s="1353">
        <v>36000</v>
      </c>
    </row>
    <row r="10" spans="1:7" ht="37.5">
      <c r="A10" s="282">
        <v>5</v>
      </c>
      <c r="B10" s="285" t="s">
        <v>1891</v>
      </c>
      <c r="C10" s="286">
        <v>108000</v>
      </c>
      <c r="D10" s="1354">
        <v>1</v>
      </c>
      <c r="E10" s="742" t="s">
        <v>1834</v>
      </c>
      <c r="F10" s="1352">
        <v>3</v>
      </c>
      <c r="G10" s="1353">
        <v>36000</v>
      </c>
    </row>
    <row r="11" spans="1:7" s="278" customFormat="1" ht="37.5">
      <c r="A11" s="282">
        <v>6</v>
      </c>
      <c r="B11" s="310" t="s">
        <v>1892</v>
      </c>
      <c r="C11" s="286">
        <v>108000</v>
      </c>
      <c r="D11" s="1354">
        <v>1</v>
      </c>
      <c r="E11" s="742" t="s">
        <v>1834</v>
      </c>
      <c r="F11" s="1352">
        <v>3</v>
      </c>
      <c r="G11" s="1353">
        <v>36000</v>
      </c>
    </row>
    <row r="12" spans="1:7" s="278" customFormat="1" ht="37.5">
      <c r="A12" s="282">
        <v>7</v>
      </c>
      <c r="B12" s="285" t="s">
        <v>1893</v>
      </c>
      <c r="C12" s="286">
        <v>108000</v>
      </c>
      <c r="D12" s="1354">
        <v>1</v>
      </c>
      <c r="E12" s="742" t="s">
        <v>1834</v>
      </c>
      <c r="F12" s="1352">
        <v>3</v>
      </c>
      <c r="G12" s="1353">
        <v>36000</v>
      </c>
    </row>
    <row r="13" spans="1:7" s="278" customFormat="1" ht="37.5">
      <c r="A13" s="282">
        <v>8</v>
      </c>
      <c r="B13" s="285" t="s">
        <v>1894</v>
      </c>
      <c r="C13" s="286">
        <v>90000</v>
      </c>
      <c r="D13" s="1354">
        <v>1</v>
      </c>
      <c r="E13" s="742" t="s">
        <v>1885</v>
      </c>
      <c r="F13" s="1352">
        <v>3</v>
      </c>
      <c r="G13" s="1353">
        <v>30000</v>
      </c>
    </row>
    <row r="14" spans="1:7" ht="37.5">
      <c r="A14" s="282">
        <v>9</v>
      </c>
      <c r="B14" s="285" t="s">
        <v>1895</v>
      </c>
      <c r="C14" s="286">
        <v>90000</v>
      </c>
      <c r="D14" s="1354">
        <v>1</v>
      </c>
      <c r="E14" s="742" t="s">
        <v>1885</v>
      </c>
      <c r="F14" s="1352">
        <v>3</v>
      </c>
      <c r="G14" s="1353">
        <v>30000</v>
      </c>
    </row>
    <row r="15" spans="1:7" s="278" customFormat="1" ht="37.5">
      <c r="A15" s="282">
        <v>10</v>
      </c>
      <c r="B15" s="287" t="s">
        <v>1896</v>
      </c>
      <c r="C15" s="286">
        <v>180000</v>
      </c>
      <c r="D15" s="1354">
        <v>3</v>
      </c>
      <c r="E15" s="742" t="s">
        <v>1886</v>
      </c>
      <c r="F15" s="1352">
        <v>4</v>
      </c>
      <c r="G15" s="1355">
        <v>15000</v>
      </c>
    </row>
    <row r="16" spans="1:7" s="278" customFormat="1">
      <c r="A16" s="282">
        <v>11</v>
      </c>
      <c r="B16" s="289" t="s">
        <v>1897</v>
      </c>
      <c r="C16" s="286">
        <v>540000</v>
      </c>
      <c r="D16" s="1356">
        <v>4</v>
      </c>
      <c r="E16" s="742" t="s">
        <v>1886</v>
      </c>
      <c r="F16" s="1352">
        <v>9</v>
      </c>
      <c r="G16" s="1355">
        <v>15000</v>
      </c>
    </row>
    <row r="17" spans="1:7" s="278" customFormat="1" ht="37.5">
      <c r="A17" s="282">
        <v>12</v>
      </c>
      <c r="B17" s="285" t="s">
        <v>1898</v>
      </c>
      <c r="C17" s="286">
        <v>540000</v>
      </c>
      <c r="D17" s="1354">
        <v>4</v>
      </c>
      <c r="E17" s="742" t="s">
        <v>1886</v>
      </c>
      <c r="F17" s="1352">
        <v>9</v>
      </c>
      <c r="G17" s="1355">
        <v>15000</v>
      </c>
    </row>
    <row r="18" spans="1:7" s="278" customFormat="1" ht="21">
      <c r="A18" s="290"/>
      <c r="B18" s="291"/>
      <c r="C18" s="292">
        <f>SUM(C6:C17)</f>
        <v>2253000</v>
      </c>
      <c r="D18" s="1339"/>
      <c r="E18" s="1339"/>
      <c r="F18" s="1339"/>
      <c r="G18" s="1339"/>
    </row>
    <row r="19" spans="1:7" s="278" customFormat="1" ht="21">
      <c r="A19" s="469"/>
      <c r="B19" s="285"/>
      <c r="C19" s="470"/>
      <c r="D19" s="1339"/>
      <c r="E19" s="1339"/>
      <c r="F19" s="1339"/>
      <c r="G19" s="1339"/>
    </row>
    <row r="20" spans="1:7" s="278" customFormat="1">
      <c r="A20" s="1454" t="s">
        <v>10</v>
      </c>
      <c r="B20" s="1455"/>
      <c r="C20" s="293"/>
      <c r="D20" s="1339"/>
      <c r="E20" s="1339"/>
      <c r="F20" s="1339"/>
      <c r="G20" s="1339"/>
    </row>
    <row r="21" spans="1:7" s="278" customFormat="1">
      <c r="A21" s="294">
        <v>6.2</v>
      </c>
      <c r="B21" s="295" t="s">
        <v>1964</v>
      </c>
      <c r="C21" s="296"/>
      <c r="D21" s="1339"/>
      <c r="E21" s="1339"/>
      <c r="F21" s="1339"/>
      <c r="G21" s="1339"/>
    </row>
    <row r="22" spans="1:7" s="278" customFormat="1">
      <c r="A22" s="297"/>
      <c r="B22" s="298" t="s">
        <v>11</v>
      </c>
      <c r="C22" s="299"/>
      <c r="D22" s="1339"/>
      <c r="E22" s="1339"/>
      <c r="F22" s="1339"/>
      <c r="G22" s="1339"/>
    </row>
    <row r="23" spans="1:7" s="278" customFormat="1">
      <c r="A23" s="300">
        <v>1</v>
      </c>
      <c r="B23" s="301" t="s">
        <v>713</v>
      </c>
      <c r="C23" s="302">
        <v>80000</v>
      </c>
      <c r="D23" s="1339"/>
      <c r="E23" s="1339"/>
      <c r="F23" s="1339"/>
      <c r="G23" s="1339"/>
    </row>
    <row r="24" spans="1:7" s="278" customFormat="1">
      <c r="A24" s="303">
        <v>2</v>
      </c>
      <c r="B24" s="304" t="s">
        <v>434</v>
      </c>
      <c r="C24" s="302">
        <v>40000</v>
      </c>
      <c r="D24" s="1339"/>
      <c r="E24" s="1339"/>
      <c r="F24" s="1339"/>
      <c r="G24" s="1339"/>
    </row>
    <row r="25" spans="1:7" s="278" customFormat="1">
      <c r="A25" s="300">
        <v>3</v>
      </c>
      <c r="B25" s="287" t="s">
        <v>714</v>
      </c>
      <c r="C25" s="302">
        <v>40000</v>
      </c>
      <c r="D25" s="1339"/>
      <c r="E25" s="1339"/>
      <c r="F25" s="1339"/>
      <c r="G25" s="1339"/>
    </row>
    <row r="26" spans="1:7" s="278" customFormat="1">
      <c r="A26" s="303">
        <v>4</v>
      </c>
      <c r="B26" s="287" t="s">
        <v>715</v>
      </c>
      <c r="C26" s="302">
        <v>200000</v>
      </c>
      <c r="D26" s="1339"/>
      <c r="E26" s="1339"/>
      <c r="F26" s="1339"/>
      <c r="G26" s="1339"/>
    </row>
    <row r="27" spans="1:7" s="278" customFormat="1">
      <c r="A27" s="300">
        <v>5</v>
      </c>
      <c r="B27" s="304" t="s">
        <v>716</v>
      </c>
      <c r="C27" s="302">
        <v>19200</v>
      </c>
      <c r="D27" s="1339"/>
      <c r="E27" s="1339"/>
      <c r="F27" s="1339"/>
      <c r="G27" s="1339"/>
    </row>
    <row r="28" spans="1:7" s="278" customFormat="1">
      <c r="A28" s="303">
        <v>6</v>
      </c>
      <c r="B28" s="304" t="s">
        <v>717</v>
      </c>
      <c r="C28" s="302">
        <v>19200</v>
      </c>
      <c r="D28" s="1339"/>
      <c r="E28" s="1339"/>
      <c r="F28" s="1339"/>
      <c r="G28" s="1339"/>
    </row>
    <row r="29" spans="1:7" s="278" customFormat="1">
      <c r="A29" s="300">
        <v>7</v>
      </c>
      <c r="B29" s="304" t="s">
        <v>718</v>
      </c>
      <c r="C29" s="302">
        <v>40000</v>
      </c>
      <c r="D29" s="1339"/>
      <c r="E29" s="1339"/>
      <c r="F29" s="1339"/>
      <c r="G29" s="1339"/>
    </row>
    <row r="30" spans="1:7" s="278" customFormat="1">
      <c r="A30" s="303">
        <v>8</v>
      </c>
      <c r="B30" s="304" t="s">
        <v>444</v>
      </c>
      <c r="C30" s="302">
        <v>40000</v>
      </c>
      <c r="D30" s="1339"/>
      <c r="E30" s="1339"/>
      <c r="F30" s="1339"/>
      <c r="G30" s="1339"/>
    </row>
    <row r="31" spans="1:7" s="278" customFormat="1">
      <c r="A31" s="305"/>
      <c r="B31" s="306"/>
      <c r="C31" s="307">
        <f>SUM(C23:C30)</f>
        <v>478400</v>
      </c>
      <c r="D31" s="1339"/>
      <c r="E31" s="1339"/>
      <c r="F31" s="1339"/>
      <c r="G31" s="1339"/>
    </row>
    <row r="32" spans="1:7" s="278" customFormat="1">
      <c r="A32" s="472"/>
      <c r="B32" s="317"/>
      <c r="C32" s="318"/>
      <c r="D32" s="1339"/>
      <c r="E32" s="1339"/>
      <c r="F32" s="1339"/>
      <c r="G32" s="1339"/>
    </row>
    <row r="33" spans="1:7" s="278" customFormat="1" ht="37.5" customHeight="1">
      <c r="A33" s="308">
        <v>6.3</v>
      </c>
      <c r="B33" s="1458" t="s">
        <v>1965</v>
      </c>
      <c r="C33" s="309"/>
      <c r="D33" s="1346"/>
      <c r="E33" s="1346"/>
      <c r="F33" s="1346"/>
      <c r="G33" s="1339"/>
    </row>
    <row r="34" spans="1:7" s="278" customFormat="1" ht="23.25" customHeight="1">
      <c r="A34" s="311"/>
      <c r="B34" s="1460"/>
      <c r="C34" s="312" t="s">
        <v>1</v>
      </c>
      <c r="D34" s="1339"/>
      <c r="E34" s="1339"/>
      <c r="F34" s="1339"/>
      <c r="G34" s="1339"/>
    </row>
    <row r="35" spans="1:7" s="278" customFormat="1">
      <c r="A35" s="313">
        <v>1</v>
      </c>
      <c r="B35" s="314" t="s">
        <v>719</v>
      </c>
      <c r="C35" s="315">
        <v>2880</v>
      </c>
      <c r="D35" s="1339"/>
      <c r="E35" s="1339"/>
      <c r="F35" s="1339"/>
      <c r="G35" s="1339"/>
    </row>
    <row r="36" spans="1:7" s="278" customFormat="1">
      <c r="A36" s="313">
        <v>2</v>
      </c>
      <c r="B36" s="314" t="s">
        <v>720</v>
      </c>
      <c r="C36" s="315">
        <v>9600</v>
      </c>
      <c r="D36" s="1339"/>
      <c r="E36" s="1339"/>
      <c r="F36" s="1339"/>
      <c r="G36" s="1339"/>
    </row>
    <row r="37" spans="1:7" s="278" customFormat="1">
      <c r="A37" s="313">
        <v>3</v>
      </c>
      <c r="B37" s="304" t="s">
        <v>721</v>
      </c>
      <c r="C37" s="302">
        <v>60000</v>
      </c>
      <c r="D37" s="1339"/>
      <c r="E37" s="1339"/>
      <c r="F37" s="1339"/>
      <c r="G37" s="1339"/>
    </row>
    <row r="38" spans="1:7" s="278" customFormat="1">
      <c r="A38" s="313">
        <v>4</v>
      </c>
      <c r="B38" s="314" t="s">
        <v>722</v>
      </c>
      <c r="C38" s="315">
        <v>30000</v>
      </c>
      <c r="D38" s="1339"/>
      <c r="E38" s="1339"/>
      <c r="F38" s="1339"/>
      <c r="G38" s="1339"/>
    </row>
    <row r="39" spans="1:7" s="278" customFormat="1">
      <c r="A39" s="316"/>
      <c r="B39" s="317"/>
      <c r="C39" s="318">
        <f>SUM(C35:C38)</f>
        <v>102480</v>
      </c>
      <c r="D39" s="1339"/>
      <c r="E39" s="1339"/>
      <c r="F39" s="1339"/>
      <c r="G39" s="1339"/>
    </row>
    <row r="40" spans="1:7" s="278" customFormat="1">
      <c r="A40" s="319">
        <v>6.4</v>
      </c>
      <c r="B40" s="320" t="s">
        <v>1966</v>
      </c>
      <c r="C40" s="321"/>
      <c r="D40" s="1339"/>
      <c r="E40" s="1339"/>
      <c r="F40" s="1339"/>
      <c r="G40" s="1339"/>
    </row>
    <row r="41" spans="1:7" s="278" customFormat="1" ht="18.75" customHeight="1">
      <c r="A41" s="322" t="s">
        <v>445</v>
      </c>
      <c r="B41" s="323" t="s">
        <v>723</v>
      </c>
      <c r="C41" s="324"/>
      <c r="D41" s="1339"/>
      <c r="E41" s="1339"/>
      <c r="F41" s="1339"/>
      <c r="G41" s="1339"/>
    </row>
    <row r="42" spans="1:7" s="278" customFormat="1">
      <c r="A42" s="325"/>
      <c r="B42" s="298" t="s">
        <v>724</v>
      </c>
      <c r="C42" s="326"/>
      <c r="D42" s="1339"/>
      <c r="E42" s="1339"/>
      <c r="F42" s="1339"/>
      <c r="G42" s="1339"/>
    </row>
    <row r="43" spans="1:7" s="278" customFormat="1">
      <c r="A43" s="327"/>
      <c r="B43" s="328" t="s">
        <v>448</v>
      </c>
      <c r="C43" s="329"/>
      <c r="D43" s="1339"/>
      <c r="E43" s="1339"/>
      <c r="F43" s="1339"/>
      <c r="G43" s="1339"/>
    </row>
    <row r="44" spans="1:7" s="278" customFormat="1">
      <c r="A44" s="327">
        <v>1</v>
      </c>
      <c r="B44" s="288" t="s">
        <v>494</v>
      </c>
      <c r="C44" s="330">
        <v>20000</v>
      </c>
      <c r="D44" s="1339"/>
      <c r="E44" s="1339"/>
      <c r="F44" s="1339"/>
      <c r="G44" s="1339"/>
    </row>
    <row r="45" spans="1:7" s="278" customFormat="1">
      <c r="A45" s="327">
        <v>2</v>
      </c>
      <c r="B45" s="288" t="s">
        <v>602</v>
      </c>
      <c r="C45" s="330">
        <v>200</v>
      </c>
      <c r="D45" s="1339"/>
      <c r="E45" s="1339"/>
      <c r="F45" s="1339"/>
      <c r="G45" s="1339"/>
    </row>
    <row r="46" spans="1:7" s="278" customFormat="1">
      <c r="A46" s="327">
        <v>3</v>
      </c>
      <c r="B46" s="288" t="s">
        <v>603</v>
      </c>
      <c r="C46" s="330">
        <v>3500</v>
      </c>
      <c r="D46" s="1339"/>
      <c r="E46" s="1339"/>
      <c r="F46" s="1339"/>
      <c r="G46" s="1339"/>
    </row>
    <row r="47" spans="1:7" s="278" customFormat="1">
      <c r="A47" s="327">
        <v>4</v>
      </c>
      <c r="B47" s="288" t="s">
        <v>725</v>
      </c>
      <c r="C47" s="330">
        <v>20000</v>
      </c>
      <c r="D47" s="1339"/>
      <c r="E47" s="1339"/>
      <c r="F47" s="1339"/>
      <c r="G47" s="1339"/>
    </row>
    <row r="48" spans="1:7" s="278" customFormat="1">
      <c r="A48" s="327"/>
      <c r="B48" s="328" t="s">
        <v>453</v>
      </c>
      <c r="C48" s="331"/>
      <c r="D48" s="1339"/>
      <c r="E48" s="1339"/>
      <c r="F48" s="1339"/>
      <c r="G48" s="1339"/>
    </row>
    <row r="49" spans="1:7" s="278" customFormat="1">
      <c r="A49" s="327">
        <v>5</v>
      </c>
      <c r="B49" s="288" t="s">
        <v>605</v>
      </c>
      <c r="C49" s="332">
        <v>20000</v>
      </c>
      <c r="D49" s="1339"/>
      <c r="E49" s="1339"/>
      <c r="F49" s="1339"/>
      <c r="G49" s="1339"/>
    </row>
    <row r="50" spans="1:7" s="278" customFormat="1">
      <c r="A50" s="327">
        <v>6</v>
      </c>
      <c r="B50" s="288" t="s">
        <v>725</v>
      </c>
      <c r="C50" s="332">
        <v>5000</v>
      </c>
      <c r="D50" s="1339"/>
      <c r="E50" s="1339"/>
      <c r="F50" s="1339"/>
      <c r="G50" s="1339"/>
    </row>
    <row r="51" spans="1:7" s="278" customFormat="1">
      <c r="A51" s="282">
        <v>7</v>
      </c>
      <c r="B51" s="278" t="s">
        <v>726</v>
      </c>
      <c r="C51" s="302">
        <v>3840</v>
      </c>
      <c r="D51" s="1339"/>
      <c r="E51" s="1339"/>
      <c r="F51" s="1339"/>
      <c r="G51" s="1339"/>
    </row>
    <row r="52" spans="1:7" s="278" customFormat="1">
      <c r="A52" s="282">
        <v>8</v>
      </c>
      <c r="B52" s="278" t="s">
        <v>727</v>
      </c>
      <c r="C52" s="302">
        <v>6400</v>
      </c>
      <c r="D52" s="1339"/>
      <c r="E52" s="1339"/>
      <c r="F52" s="1339"/>
      <c r="G52" s="1339"/>
    </row>
    <row r="53" spans="1:7" s="278" customFormat="1">
      <c r="A53" s="282">
        <v>9</v>
      </c>
      <c r="B53" s="278" t="s">
        <v>728</v>
      </c>
      <c r="C53" s="302">
        <v>20000</v>
      </c>
      <c r="D53" s="1339"/>
      <c r="E53" s="1339"/>
      <c r="F53" s="1339"/>
      <c r="G53" s="1339"/>
    </row>
    <row r="54" spans="1:7" s="314" customFormat="1">
      <c r="A54" s="462">
        <v>10</v>
      </c>
      <c r="B54" s="473" t="s">
        <v>518</v>
      </c>
      <c r="C54" s="333">
        <v>20000</v>
      </c>
      <c r="D54" s="1339"/>
      <c r="E54" s="1339"/>
      <c r="F54" s="1343"/>
      <c r="G54" s="1343"/>
    </row>
    <row r="55" spans="1:7" s="278" customFormat="1" ht="37.5">
      <c r="A55" s="334" t="s">
        <v>459</v>
      </c>
      <c r="B55" s="335" t="s">
        <v>729</v>
      </c>
      <c r="C55" s="336"/>
      <c r="D55" s="1339"/>
      <c r="E55" s="1339"/>
      <c r="F55" s="1339"/>
      <c r="G55" s="1339"/>
    </row>
    <row r="56" spans="1:7" s="278" customFormat="1">
      <c r="A56" s="475">
        <v>1</v>
      </c>
      <c r="B56" s="476" t="s">
        <v>730</v>
      </c>
      <c r="C56" s="477">
        <v>33600</v>
      </c>
      <c r="D56" s="1339"/>
      <c r="E56" s="1339"/>
      <c r="F56" s="1339"/>
      <c r="G56" s="1339"/>
    </row>
    <row r="57" spans="1:7" s="278" customFormat="1">
      <c r="A57" s="282">
        <v>2</v>
      </c>
      <c r="B57" s="337" t="s">
        <v>554</v>
      </c>
      <c r="C57" s="302">
        <v>20000</v>
      </c>
      <c r="D57" s="1339"/>
      <c r="E57" s="1339"/>
      <c r="F57" s="1339"/>
      <c r="G57" s="1339"/>
    </row>
    <row r="58" spans="1:7" s="278" customFormat="1">
      <c r="A58" s="282">
        <v>3</v>
      </c>
      <c r="B58" s="278" t="s">
        <v>14</v>
      </c>
      <c r="C58" s="302">
        <v>20000</v>
      </c>
      <c r="D58" s="1339"/>
      <c r="E58" s="1339"/>
      <c r="F58" s="1339"/>
      <c r="G58" s="1339"/>
    </row>
    <row r="59" spans="1:7" s="278" customFormat="1">
      <c r="A59" s="282">
        <v>4</v>
      </c>
      <c r="B59" s="338" t="s">
        <v>555</v>
      </c>
      <c r="C59" s="302">
        <v>10000</v>
      </c>
      <c r="D59" s="1339"/>
      <c r="E59" s="1339"/>
      <c r="F59" s="1339"/>
      <c r="G59" s="1339"/>
    </row>
    <row r="60" spans="1:7" s="278" customFormat="1">
      <c r="A60" s="282">
        <v>5</v>
      </c>
      <c r="B60" s="338" t="s">
        <v>556</v>
      </c>
      <c r="C60" s="302">
        <v>50000</v>
      </c>
      <c r="D60" s="1339"/>
      <c r="E60" s="1339"/>
      <c r="F60" s="1339"/>
      <c r="G60" s="1339"/>
    </row>
    <row r="61" spans="1:7" s="278" customFormat="1">
      <c r="A61" s="282">
        <v>6</v>
      </c>
      <c r="B61" s="278" t="s">
        <v>731</v>
      </c>
      <c r="C61" s="302">
        <v>4800</v>
      </c>
      <c r="D61" s="1339"/>
      <c r="E61" s="1339"/>
      <c r="F61" s="1339"/>
      <c r="G61" s="1339"/>
    </row>
    <row r="62" spans="1:7" s="278" customFormat="1">
      <c r="A62" s="282">
        <v>7</v>
      </c>
      <c r="B62" s="278" t="s">
        <v>732</v>
      </c>
      <c r="C62" s="302">
        <v>9600</v>
      </c>
      <c r="D62" s="1339"/>
      <c r="E62" s="1339"/>
      <c r="F62" s="1339"/>
      <c r="G62" s="1339"/>
    </row>
    <row r="63" spans="1:7" s="278" customFormat="1">
      <c r="A63" s="282">
        <v>8</v>
      </c>
      <c r="B63" s="278" t="s">
        <v>728</v>
      </c>
      <c r="C63" s="302">
        <v>20000</v>
      </c>
      <c r="D63" s="1339"/>
      <c r="E63" s="1339"/>
      <c r="F63" s="1339"/>
      <c r="G63" s="1339"/>
    </row>
    <row r="64" spans="1:7" s="314" customFormat="1">
      <c r="A64" s="462">
        <v>9</v>
      </c>
      <c r="B64" s="473" t="s">
        <v>518</v>
      </c>
      <c r="C64" s="333">
        <v>20000</v>
      </c>
      <c r="D64" s="1339"/>
      <c r="E64" s="1339"/>
      <c r="F64" s="1343"/>
      <c r="G64" s="1343"/>
    </row>
    <row r="65" spans="1:7" s="314" customFormat="1" ht="21.75" customHeight="1">
      <c r="A65" s="339" t="s">
        <v>468</v>
      </c>
      <c r="B65" s="340" t="s">
        <v>733</v>
      </c>
      <c r="C65" s="341"/>
      <c r="D65" s="1343"/>
      <c r="E65" s="1343"/>
      <c r="F65" s="1343"/>
      <c r="G65" s="1343"/>
    </row>
    <row r="66" spans="1:7" s="314" customFormat="1" ht="18" customHeight="1">
      <c r="A66" s="342"/>
      <c r="B66" s="343" t="s">
        <v>480</v>
      </c>
      <c r="C66" s="344"/>
      <c r="D66" s="1347"/>
      <c r="E66" s="1348"/>
      <c r="F66" s="1343"/>
      <c r="G66" s="1343"/>
    </row>
    <row r="67" spans="1:7" s="278" customFormat="1">
      <c r="A67" s="282">
        <v>1</v>
      </c>
      <c r="B67" s="278" t="s">
        <v>730</v>
      </c>
      <c r="C67" s="302">
        <v>33600</v>
      </c>
      <c r="D67" s="1339"/>
      <c r="E67" s="1339"/>
      <c r="F67" s="1339"/>
      <c r="G67" s="1339"/>
    </row>
    <row r="68" spans="1:7" s="278" customFormat="1">
      <c r="A68" s="342">
        <v>2</v>
      </c>
      <c r="B68" s="345" t="s">
        <v>734</v>
      </c>
      <c r="C68" s="346">
        <v>4800</v>
      </c>
      <c r="D68" s="1343"/>
      <c r="E68" s="1343"/>
      <c r="F68" s="1339"/>
      <c r="G68" s="1339"/>
    </row>
    <row r="69" spans="1:7" s="314" customFormat="1">
      <c r="A69" s="282">
        <v>3</v>
      </c>
      <c r="B69" s="347" t="s">
        <v>735</v>
      </c>
      <c r="C69" s="346">
        <v>16000</v>
      </c>
      <c r="D69" s="1343"/>
      <c r="E69" s="1343"/>
      <c r="F69" s="1343"/>
      <c r="G69" s="1343"/>
    </row>
    <row r="70" spans="1:7" s="314" customFormat="1">
      <c r="A70" s="342">
        <v>4</v>
      </c>
      <c r="B70" s="345" t="s">
        <v>518</v>
      </c>
      <c r="C70" s="346">
        <v>20000</v>
      </c>
      <c r="D70" s="1343"/>
      <c r="E70" s="1343"/>
      <c r="F70" s="1343"/>
      <c r="G70" s="1343"/>
    </row>
    <row r="71" spans="1:7" s="314" customFormat="1">
      <c r="A71" s="282">
        <v>5</v>
      </c>
      <c r="B71" s="304" t="s">
        <v>736</v>
      </c>
      <c r="C71" s="302">
        <v>30000</v>
      </c>
      <c r="D71" s="1339"/>
      <c r="E71" s="1339"/>
      <c r="F71" s="1343"/>
      <c r="G71" s="1343"/>
    </row>
    <row r="72" spans="1:7" s="278" customFormat="1">
      <c r="A72" s="453">
        <v>6</v>
      </c>
      <c r="B72" s="474" t="s">
        <v>737</v>
      </c>
      <c r="C72" s="348">
        <v>20000</v>
      </c>
      <c r="D72" s="1343"/>
      <c r="E72" s="1343"/>
      <c r="F72" s="1339"/>
      <c r="G72" s="1339"/>
    </row>
    <row r="73" spans="1:7" s="349" customFormat="1">
      <c r="A73" s="319" t="s">
        <v>478</v>
      </c>
      <c r="B73" s="320" t="s">
        <v>738</v>
      </c>
      <c r="C73" s="321"/>
      <c r="D73" s="1344"/>
      <c r="E73" s="1344"/>
      <c r="F73" s="1344"/>
      <c r="G73" s="1344"/>
    </row>
    <row r="74" spans="1:7" s="353" customFormat="1">
      <c r="A74" s="350">
        <v>4.2</v>
      </c>
      <c r="B74" s="351" t="s">
        <v>739</v>
      </c>
      <c r="C74" s="352">
        <v>100000</v>
      </c>
      <c r="D74" s="1318"/>
      <c r="E74" s="1318"/>
      <c r="F74" s="1318"/>
      <c r="G74" s="1318"/>
    </row>
    <row r="75" spans="1:7" s="353" customFormat="1">
      <c r="A75" s="350">
        <v>4.3</v>
      </c>
      <c r="B75" s="351" t="s">
        <v>740</v>
      </c>
      <c r="C75" s="352">
        <v>20000</v>
      </c>
      <c r="D75" s="1318"/>
      <c r="E75" s="1318"/>
      <c r="F75" s="1318"/>
      <c r="G75" s="1318"/>
    </row>
    <row r="76" spans="1:7" s="353" customFormat="1" ht="21">
      <c r="A76" s="350"/>
      <c r="B76" s="351"/>
      <c r="C76" s="354">
        <f>SUM(C43:C75)</f>
        <v>551340</v>
      </c>
      <c r="D76" s="1318"/>
      <c r="E76" s="1318"/>
      <c r="F76" s="1318"/>
      <c r="G76" s="1318"/>
    </row>
    <row r="77" spans="1:7" s="349" customFormat="1">
      <c r="A77" s="355">
        <v>6.5</v>
      </c>
      <c r="B77" s="320" t="s">
        <v>1967</v>
      </c>
      <c r="C77" s="321"/>
      <c r="D77" s="1344"/>
      <c r="E77" s="1344"/>
      <c r="F77" s="1344"/>
      <c r="G77" s="1344"/>
    </row>
    <row r="78" spans="1:7" s="349" customFormat="1">
      <c r="A78" s="342">
        <v>1</v>
      </c>
      <c r="B78" s="314" t="s">
        <v>741</v>
      </c>
      <c r="C78" s="356">
        <v>9600</v>
      </c>
      <c r="D78" s="1344"/>
      <c r="E78" s="1344"/>
      <c r="F78" s="1344"/>
      <c r="G78" s="1344"/>
    </row>
    <row r="79" spans="1:7" s="349" customFormat="1">
      <c r="A79" s="342">
        <v>2</v>
      </c>
      <c r="B79" s="314" t="s">
        <v>742</v>
      </c>
      <c r="C79" s="356">
        <v>9600</v>
      </c>
      <c r="D79" s="1344"/>
      <c r="E79" s="1344"/>
      <c r="F79" s="1344"/>
      <c r="G79" s="1344"/>
    </row>
    <row r="80" spans="1:7" s="278" customFormat="1">
      <c r="A80" s="342">
        <v>3</v>
      </c>
      <c r="B80" s="314" t="s">
        <v>743</v>
      </c>
      <c r="C80" s="356">
        <v>30000</v>
      </c>
      <c r="D80" s="1339"/>
      <c r="E80" s="1339"/>
      <c r="F80" s="1339"/>
      <c r="G80" s="1339"/>
    </row>
    <row r="81" spans="1:7" s="278" customFormat="1">
      <c r="A81" s="342">
        <v>4</v>
      </c>
      <c r="B81" s="347" t="s">
        <v>744</v>
      </c>
      <c r="C81" s="356">
        <v>20000</v>
      </c>
      <c r="D81" s="1339"/>
      <c r="E81" s="1339"/>
      <c r="F81" s="1339"/>
      <c r="G81" s="1339"/>
    </row>
    <row r="82" spans="1:7" s="278" customFormat="1" ht="21">
      <c r="A82" s="478"/>
      <c r="B82" s="479"/>
      <c r="C82" s="480">
        <f>SUM(C78:C81)</f>
        <v>69200</v>
      </c>
      <c r="D82" s="1339"/>
      <c r="E82" s="1339"/>
      <c r="F82" s="1339"/>
      <c r="G82" s="1339"/>
    </row>
    <row r="83" spans="1:7" s="278" customFormat="1" ht="37.5">
      <c r="A83" s="322">
        <v>6.6</v>
      </c>
      <c r="B83" s="357" t="s">
        <v>1968</v>
      </c>
      <c r="C83" s="358"/>
      <c r="D83" s="1339"/>
      <c r="E83" s="1339"/>
      <c r="F83" s="1339"/>
      <c r="G83" s="1339"/>
    </row>
    <row r="84" spans="1:7" s="278" customFormat="1">
      <c r="A84" s="325"/>
      <c r="B84" s="359" t="s">
        <v>745</v>
      </c>
      <c r="C84" s="360"/>
      <c r="D84" s="1339"/>
      <c r="E84" s="1339"/>
      <c r="F84" s="1339"/>
      <c r="G84" s="1339"/>
    </row>
    <row r="85" spans="1:7" s="278" customFormat="1">
      <c r="A85" s="459"/>
      <c r="B85" s="460" t="s">
        <v>746</v>
      </c>
      <c r="C85" s="461"/>
      <c r="D85" s="1339"/>
      <c r="E85" s="1339"/>
      <c r="F85" s="1339"/>
      <c r="G85" s="1339"/>
    </row>
    <row r="86" spans="1:7" s="349" customFormat="1">
      <c r="A86" s="342">
        <v>1</v>
      </c>
      <c r="B86" s="314" t="s">
        <v>515</v>
      </c>
      <c r="C86" s="361">
        <v>7680</v>
      </c>
      <c r="D86" s="1344"/>
      <c r="E86" s="1344"/>
      <c r="F86" s="1344"/>
      <c r="G86" s="1344"/>
    </row>
    <row r="87" spans="1:7" s="349" customFormat="1">
      <c r="A87" s="327">
        <v>2</v>
      </c>
      <c r="B87" s="314" t="s">
        <v>747</v>
      </c>
      <c r="C87" s="361">
        <v>6400</v>
      </c>
      <c r="D87" s="1344"/>
      <c r="E87" s="1344"/>
      <c r="F87" s="1344"/>
      <c r="G87" s="1344"/>
    </row>
    <row r="88" spans="1:7" s="278" customFormat="1">
      <c r="A88" s="342">
        <v>3</v>
      </c>
      <c r="B88" s="314" t="s">
        <v>748</v>
      </c>
      <c r="C88" s="361">
        <v>20000</v>
      </c>
      <c r="D88" s="1339"/>
      <c r="E88" s="1339"/>
      <c r="F88" s="1339"/>
      <c r="G88" s="1339"/>
    </row>
    <row r="89" spans="1:7" s="278" customFormat="1">
      <c r="A89" s="327">
        <v>4</v>
      </c>
      <c r="B89" s="347" t="s">
        <v>498</v>
      </c>
      <c r="C89" s="361">
        <v>20000</v>
      </c>
      <c r="D89" s="1339"/>
      <c r="E89" s="1339"/>
      <c r="F89" s="1339"/>
      <c r="G89" s="1339"/>
    </row>
    <row r="90" spans="1:7" s="278" customFormat="1">
      <c r="A90" s="342">
        <v>5</v>
      </c>
      <c r="B90" s="288" t="s">
        <v>749</v>
      </c>
      <c r="C90" s="332">
        <v>80000</v>
      </c>
      <c r="D90" s="1339"/>
      <c r="E90" s="1339"/>
      <c r="F90" s="1339"/>
      <c r="G90" s="1339"/>
    </row>
    <row r="91" spans="1:7" s="278" customFormat="1">
      <c r="A91" s="327">
        <v>6</v>
      </c>
      <c r="B91" s="288" t="s">
        <v>750</v>
      </c>
      <c r="C91" s="332">
        <v>80000</v>
      </c>
      <c r="D91" s="1339"/>
      <c r="E91" s="1339"/>
      <c r="F91" s="1339"/>
      <c r="G91" s="1339"/>
    </row>
    <row r="92" spans="1:7" s="278" customFormat="1">
      <c r="A92" s="342">
        <v>7</v>
      </c>
      <c r="B92" s="288" t="s">
        <v>751</v>
      </c>
      <c r="C92" s="332">
        <v>80000</v>
      </c>
      <c r="D92" s="1339"/>
      <c r="E92" s="1339"/>
      <c r="F92" s="1339"/>
      <c r="G92" s="1339"/>
    </row>
    <row r="93" spans="1:7" s="278" customFormat="1" ht="21">
      <c r="A93" s="462"/>
      <c r="B93" s="291"/>
      <c r="C93" s="292">
        <f>SUM(C86:C92)</f>
        <v>294080</v>
      </c>
      <c r="D93" s="1339"/>
      <c r="E93" s="1339"/>
      <c r="F93" s="1339"/>
      <c r="G93" s="1339"/>
    </row>
    <row r="94" spans="1:7" s="278" customFormat="1">
      <c r="A94" s="355">
        <v>6.7</v>
      </c>
      <c r="B94" s="320" t="s">
        <v>1969</v>
      </c>
      <c r="C94" s="321"/>
      <c r="D94" s="1344"/>
      <c r="E94" s="1344"/>
      <c r="F94" s="1339"/>
      <c r="G94" s="1339"/>
    </row>
    <row r="95" spans="1:7" s="349" customFormat="1" ht="41.25" customHeight="1">
      <c r="A95" s="362" t="s">
        <v>752</v>
      </c>
      <c r="B95" s="1462" t="s">
        <v>997</v>
      </c>
      <c r="C95" s="1463"/>
      <c r="D95" s="1339"/>
      <c r="E95" s="1339"/>
      <c r="F95" s="1344"/>
      <c r="G95" s="1344"/>
    </row>
    <row r="96" spans="1:7" s="314" customFormat="1" ht="21" customHeight="1">
      <c r="A96" s="365"/>
      <c r="B96" s="363" t="s">
        <v>506</v>
      </c>
      <c r="C96" s="364"/>
      <c r="D96" s="1339"/>
      <c r="E96" s="1339"/>
      <c r="F96" s="1343"/>
      <c r="G96" s="1343"/>
    </row>
    <row r="97" spans="1:7" s="278" customFormat="1" ht="18" customHeight="1">
      <c r="A97" s="365"/>
      <c r="B97" s="366" t="s">
        <v>753</v>
      </c>
      <c r="C97" s="364"/>
      <c r="D97" s="1339"/>
      <c r="E97" s="1339"/>
      <c r="F97" s="1339"/>
      <c r="G97" s="1339"/>
    </row>
    <row r="98" spans="1:7" s="278" customFormat="1" ht="18" customHeight="1">
      <c r="A98" s="365"/>
      <c r="B98" s="367" t="s">
        <v>754</v>
      </c>
      <c r="C98" s="364"/>
      <c r="D98" s="1339"/>
      <c r="E98" s="1339"/>
      <c r="F98" s="1339"/>
      <c r="G98" s="1339"/>
    </row>
    <row r="99" spans="1:7" s="349" customFormat="1">
      <c r="A99" s="365"/>
      <c r="B99" s="366" t="s">
        <v>755</v>
      </c>
      <c r="C99" s="364"/>
      <c r="D99" s="1339"/>
      <c r="E99" s="1339"/>
      <c r="F99" s="1344"/>
      <c r="G99" s="1344"/>
    </row>
    <row r="100" spans="1:7" s="349" customFormat="1">
      <c r="A100" s="463"/>
      <c r="B100" s="368" t="s">
        <v>756</v>
      </c>
      <c r="C100" s="369"/>
      <c r="D100" s="1344"/>
      <c r="E100" s="1344"/>
      <c r="F100" s="1344"/>
      <c r="G100" s="1344"/>
    </row>
    <row r="101" spans="1:7" s="314" customFormat="1" ht="21.75" customHeight="1">
      <c r="A101" s="370"/>
      <c r="B101" s="320" t="s">
        <v>757</v>
      </c>
      <c r="C101" s="321"/>
      <c r="D101" s="1344"/>
      <c r="E101" s="1344"/>
      <c r="F101" s="1343"/>
      <c r="G101" s="1343"/>
    </row>
    <row r="102" spans="1:7" s="349" customFormat="1">
      <c r="A102" s="342">
        <v>1</v>
      </c>
      <c r="B102" s="314" t="s">
        <v>758</v>
      </c>
      <c r="C102" s="361">
        <v>1920</v>
      </c>
      <c r="D102" s="1344"/>
      <c r="E102" s="1344"/>
      <c r="F102" s="1344"/>
      <c r="G102" s="1344"/>
    </row>
    <row r="103" spans="1:7" s="349" customFormat="1">
      <c r="A103" s="327">
        <v>2</v>
      </c>
      <c r="B103" s="314" t="s">
        <v>759</v>
      </c>
      <c r="C103" s="361">
        <v>1600</v>
      </c>
      <c r="D103" s="1344"/>
      <c r="E103" s="1344"/>
      <c r="F103" s="1344"/>
      <c r="G103" s="1344"/>
    </row>
    <row r="104" spans="1:7" s="278" customFormat="1">
      <c r="A104" s="342">
        <v>3</v>
      </c>
      <c r="B104" s="314" t="s">
        <v>760</v>
      </c>
      <c r="C104" s="361">
        <v>10000</v>
      </c>
      <c r="D104" s="1339"/>
      <c r="E104" s="1339"/>
      <c r="F104" s="1339"/>
      <c r="G104" s="1339"/>
    </row>
    <row r="105" spans="1:7" s="278" customFormat="1">
      <c r="A105" s="327">
        <v>4</v>
      </c>
      <c r="B105" s="347" t="s">
        <v>761</v>
      </c>
      <c r="C105" s="361">
        <v>5000</v>
      </c>
      <c r="D105" s="1339"/>
      <c r="E105" s="1339"/>
      <c r="F105" s="1339"/>
      <c r="G105" s="1339"/>
    </row>
    <row r="106" spans="1:7" s="278" customFormat="1">
      <c r="A106" s="453">
        <v>5</v>
      </c>
      <c r="B106" s="465" t="s">
        <v>762</v>
      </c>
      <c r="C106" s="371">
        <v>20000</v>
      </c>
      <c r="D106" s="1339"/>
      <c r="E106" s="1339"/>
      <c r="F106" s="1339"/>
      <c r="G106" s="1339"/>
    </row>
    <row r="107" spans="1:7" s="278" customFormat="1">
      <c r="A107" s="372"/>
      <c r="B107" s="320" t="s">
        <v>763</v>
      </c>
      <c r="C107" s="321"/>
      <c r="D107" s="1344"/>
      <c r="E107" s="1344"/>
      <c r="F107" s="1339"/>
      <c r="G107" s="1339"/>
    </row>
    <row r="108" spans="1:7" s="278" customFormat="1">
      <c r="A108" s="282">
        <v>1</v>
      </c>
      <c r="B108" s="278" t="s">
        <v>34</v>
      </c>
      <c r="C108" s="302">
        <v>8400</v>
      </c>
      <c r="D108" s="1339"/>
      <c r="E108" s="1339"/>
      <c r="F108" s="1339"/>
      <c r="G108" s="1339"/>
    </row>
    <row r="109" spans="1:7" s="278" customFormat="1">
      <c r="A109" s="282">
        <v>2</v>
      </c>
      <c r="B109" s="337" t="s">
        <v>640</v>
      </c>
      <c r="C109" s="302">
        <v>10000</v>
      </c>
      <c r="D109" s="1339"/>
      <c r="E109" s="1339"/>
      <c r="F109" s="1339"/>
      <c r="G109" s="1339"/>
    </row>
    <row r="110" spans="1:7" s="278" customFormat="1">
      <c r="A110" s="282">
        <v>3</v>
      </c>
      <c r="B110" s="278" t="s">
        <v>14</v>
      </c>
      <c r="C110" s="302">
        <v>5000</v>
      </c>
      <c r="D110" s="1339"/>
      <c r="E110" s="1339"/>
      <c r="F110" s="1339"/>
      <c r="G110" s="1339"/>
    </row>
    <row r="111" spans="1:7" s="278" customFormat="1">
      <c r="A111" s="282">
        <v>4</v>
      </c>
      <c r="B111" s="338" t="s">
        <v>35</v>
      </c>
      <c r="C111" s="302">
        <v>5000</v>
      </c>
      <c r="D111" s="1339"/>
      <c r="E111" s="1339"/>
      <c r="F111" s="1339"/>
      <c r="G111" s="1339"/>
    </row>
    <row r="112" spans="1:7" s="278" customFormat="1">
      <c r="A112" s="282">
        <v>5</v>
      </c>
      <c r="B112" s="338" t="s">
        <v>15</v>
      </c>
      <c r="C112" s="302">
        <v>25000</v>
      </c>
      <c r="D112" s="1339"/>
      <c r="E112" s="1339"/>
      <c r="F112" s="1339"/>
      <c r="G112" s="1339"/>
    </row>
    <row r="113" spans="1:7" s="278" customFormat="1">
      <c r="A113" s="282">
        <v>6</v>
      </c>
      <c r="B113" s="278" t="s">
        <v>641</v>
      </c>
      <c r="C113" s="302">
        <v>1200</v>
      </c>
      <c r="D113" s="1339"/>
      <c r="E113" s="1339"/>
      <c r="F113" s="1339"/>
      <c r="G113" s="1339"/>
    </row>
    <row r="114" spans="1:7" s="278" customFormat="1">
      <c r="A114" s="282">
        <v>7</v>
      </c>
      <c r="B114" s="278" t="s">
        <v>764</v>
      </c>
      <c r="C114" s="302">
        <v>2400</v>
      </c>
      <c r="D114" s="1339"/>
      <c r="E114" s="1339"/>
      <c r="F114" s="1339"/>
      <c r="G114" s="1339"/>
    </row>
    <row r="115" spans="1:7" s="278" customFormat="1">
      <c r="A115" s="282">
        <v>8</v>
      </c>
      <c r="B115" s="278" t="s">
        <v>765</v>
      </c>
      <c r="C115" s="302">
        <v>25000</v>
      </c>
      <c r="D115" s="1339"/>
      <c r="E115" s="1339"/>
      <c r="F115" s="1339"/>
      <c r="G115" s="1339"/>
    </row>
    <row r="116" spans="1:7" s="278" customFormat="1">
      <c r="A116" s="282">
        <v>9</v>
      </c>
      <c r="B116" s="310" t="s">
        <v>611</v>
      </c>
      <c r="C116" s="302">
        <v>5000</v>
      </c>
      <c r="D116" s="1339"/>
      <c r="E116" s="1339"/>
      <c r="F116" s="1339"/>
      <c r="G116" s="1339"/>
    </row>
    <row r="117" spans="1:7" s="278" customFormat="1">
      <c r="A117" s="462"/>
      <c r="B117" s="473"/>
      <c r="C117" s="318">
        <f>SUM(C102:C116)</f>
        <v>125520</v>
      </c>
      <c r="D117" s="1339"/>
      <c r="E117" s="1339"/>
      <c r="F117" s="1339"/>
      <c r="G117" s="1339"/>
    </row>
    <row r="118" spans="1:7" s="278" customFormat="1" ht="36" customHeight="1">
      <c r="A118" s="319" t="s">
        <v>766</v>
      </c>
      <c r="B118" s="1484" t="s">
        <v>998</v>
      </c>
      <c r="C118" s="1485"/>
      <c r="D118" s="1339"/>
      <c r="E118" s="1339"/>
      <c r="F118" s="1339"/>
      <c r="G118" s="1339"/>
    </row>
    <row r="119" spans="1:7" s="314" customFormat="1" ht="21.75" customHeight="1">
      <c r="A119" s="377"/>
      <c r="B119" s="373" t="s">
        <v>506</v>
      </c>
      <c r="C119" s="374"/>
      <c r="D119" s="1339"/>
      <c r="E119" s="1339"/>
      <c r="F119" s="1343"/>
      <c r="G119" s="1343"/>
    </row>
    <row r="120" spans="1:7" s="278" customFormat="1" ht="18" customHeight="1">
      <c r="A120" s="377"/>
      <c r="B120" s="373" t="s">
        <v>767</v>
      </c>
      <c r="C120" s="374"/>
      <c r="D120" s="1339"/>
      <c r="E120" s="1339"/>
      <c r="F120" s="1339"/>
      <c r="G120" s="1339"/>
    </row>
    <row r="121" spans="1:7" s="278" customFormat="1" ht="18" customHeight="1">
      <c r="A121" s="377"/>
      <c r="B121" s="373" t="s">
        <v>768</v>
      </c>
      <c r="C121" s="374"/>
      <c r="D121" s="1339"/>
      <c r="E121" s="1339"/>
      <c r="F121" s="1339"/>
      <c r="G121" s="1339"/>
    </row>
    <row r="122" spans="1:7" s="349" customFormat="1">
      <c r="A122" s="377"/>
      <c r="B122" s="373" t="s">
        <v>755</v>
      </c>
      <c r="C122" s="374"/>
      <c r="D122" s="1339"/>
      <c r="E122" s="1339"/>
      <c r="F122" s="1344"/>
      <c r="G122" s="1344"/>
    </row>
    <row r="123" spans="1:7" s="314" customFormat="1">
      <c r="A123" s="464"/>
      <c r="B123" s="481" t="s">
        <v>769</v>
      </c>
      <c r="C123" s="467"/>
      <c r="D123" s="1339"/>
      <c r="E123" s="1339"/>
      <c r="F123" s="1343"/>
      <c r="G123" s="1343"/>
    </row>
    <row r="124" spans="1:7" s="278" customFormat="1">
      <c r="A124" s="370"/>
      <c r="B124" s="320" t="s">
        <v>757</v>
      </c>
      <c r="C124" s="321"/>
      <c r="D124" s="1344"/>
      <c r="E124" s="1344"/>
      <c r="F124" s="1339"/>
      <c r="G124" s="1339"/>
    </row>
    <row r="125" spans="1:7" s="349" customFormat="1">
      <c r="A125" s="342">
        <v>1</v>
      </c>
      <c r="B125" s="314" t="s">
        <v>770</v>
      </c>
      <c r="C125" s="361">
        <v>4320</v>
      </c>
      <c r="D125" s="1344"/>
      <c r="E125" s="1344"/>
      <c r="F125" s="1344"/>
      <c r="G125" s="1344"/>
    </row>
    <row r="126" spans="1:7" s="349" customFormat="1">
      <c r="A126" s="327">
        <v>2</v>
      </c>
      <c r="B126" s="314" t="s">
        <v>771</v>
      </c>
      <c r="C126" s="361">
        <v>4800</v>
      </c>
      <c r="D126" s="1344"/>
      <c r="E126" s="1344"/>
      <c r="F126" s="1344"/>
      <c r="G126" s="1344"/>
    </row>
    <row r="127" spans="1:7" s="278" customFormat="1">
      <c r="A127" s="342">
        <v>3</v>
      </c>
      <c r="B127" s="314" t="s">
        <v>760</v>
      </c>
      <c r="C127" s="361">
        <v>10000</v>
      </c>
      <c r="D127" s="1339"/>
      <c r="E127" s="1339"/>
      <c r="F127" s="1339"/>
      <c r="G127" s="1339"/>
    </row>
    <row r="128" spans="1:7" s="278" customFormat="1">
      <c r="A128" s="327">
        <v>4</v>
      </c>
      <c r="B128" s="347" t="s">
        <v>772</v>
      </c>
      <c r="C128" s="361">
        <v>15000</v>
      </c>
      <c r="D128" s="1339"/>
      <c r="E128" s="1339"/>
      <c r="F128" s="1339"/>
      <c r="G128" s="1339"/>
    </row>
    <row r="129" spans="1:7" s="278" customFormat="1">
      <c r="A129" s="453">
        <v>5</v>
      </c>
      <c r="B129" s="465" t="s">
        <v>773</v>
      </c>
      <c r="C129" s="375">
        <v>60000</v>
      </c>
      <c r="D129" s="1339"/>
      <c r="E129" s="1339"/>
      <c r="F129" s="1339"/>
      <c r="G129" s="1339"/>
    </row>
    <row r="130" spans="1:7" s="278" customFormat="1">
      <c r="A130" s="372">
        <v>4</v>
      </c>
      <c r="B130" s="320" t="s">
        <v>763</v>
      </c>
      <c r="C130" s="321"/>
      <c r="D130" s="1344"/>
      <c r="E130" s="1344"/>
      <c r="F130" s="1339"/>
      <c r="G130" s="1339"/>
    </row>
    <row r="131" spans="1:7" s="278" customFormat="1">
      <c r="A131" s="282">
        <v>4.0999999999999996</v>
      </c>
      <c r="B131" s="278" t="s">
        <v>33</v>
      </c>
      <c r="C131" s="302">
        <v>25200</v>
      </c>
      <c r="D131" s="1339"/>
      <c r="E131" s="1339"/>
      <c r="F131" s="1339"/>
      <c r="G131" s="1339"/>
    </row>
    <row r="132" spans="1:7" s="278" customFormat="1">
      <c r="A132" s="282">
        <v>4.2</v>
      </c>
      <c r="B132" s="337" t="s">
        <v>567</v>
      </c>
      <c r="C132" s="302">
        <v>30000</v>
      </c>
      <c r="D132" s="1339"/>
      <c r="E132" s="1339"/>
      <c r="F132" s="1339"/>
      <c r="G132" s="1339"/>
    </row>
    <row r="133" spans="1:7" s="278" customFormat="1">
      <c r="A133" s="282">
        <v>4.3</v>
      </c>
      <c r="B133" s="278" t="s">
        <v>14</v>
      </c>
      <c r="C133" s="302">
        <v>15000</v>
      </c>
      <c r="D133" s="1339"/>
      <c r="E133" s="1339"/>
      <c r="F133" s="1339"/>
      <c r="G133" s="1339"/>
    </row>
    <row r="134" spans="1:7" s="278" customFormat="1">
      <c r="A134" s="282">
        <v>4.4000000000000004</v>
      </c>
      <c r="B134" s="338" t="s">
        <v>568</v>
      </c>
      <c r="C134" s="302">
        <v>15000</v>
      </c>
      <c r="D134" s="1339"/>
      <c r="E134" s="1339"/>
      <c r="F134" s="1339"/>
      <c r="G134" s="1339"/>
    </row>
    <row r="135" spans="1:7" s="278" customFormat="1">
      <c r="A135" s="282">
        <v>4.5</v>
      </c>
      <c r="B135" s="338" t="s">
        <v>569</v>
      </c>
      <c r="C135" s="302">
        <v>75000</v>
      </c>
      <c r="D135" s="1339"/>
      <c r="E135" s="1339"/>
      <c r="F135" s="1339"/>
      <c r="G135" s="1339"/>
    </row>
    <row r="136" spans="1:7" s="278" customFormat="1">
      <c r="A136" s="282">
        <v>4.5999999999999996</v>
      </c>
      <c r="B136" s="278" t="s">
        <v>557</v>
      </c>
      <c r="C136" s="302">
        <v>2400</v>
      </c>
      <c r="D136" s="1339"/>
      <c r="E136" s="1339"/>
      <c r="F136" s="1339"/>
      <c r="G136" s="1339"/>
    </row>
    <row r="137" spans="1:7" s="278" customFormat="1">
      <c r="A137" s="282">
        <v>4.7</v>
      </c>
      <c r="B137" s="278" t="s">
        <v>774</v>
      </c>
      <c r="C137" s="302">
        <v>4800</v>
      </c>
      <c r="D137" s="1339"/>
      <c r="E137" s="1339"/>
      <c r="F137" s="1339"/>
      <c r="G137" s="1339"/>
    </row>
    <row r="138" spans="1:7" s="278" customFormat="1">
      <c r="A138" s="282">
        <v>4.8</v>
      </c>
      <c r="B138" s="278" t="s">
        <v>775</v>
      </c>
      <c r="C138" s="302">
        <v>50000</v>
      </c>
      <c r="D138" s="1339"/>
      <c r="E138" s="1339"/>
      <c r="F138" s="1339"/>
      <c r="G138" s="1339"/>
    </row>
    <row r="139" spans="1:7" s="278" customFormat="1">
      <c r="A139" s="282">
        <v>4.9000000000000004</v>
      </c>
      <c r="B139" s="310" t="s">
        <v>573</v>
      </c>
      <c r="C139" s="302">
        <v>15000</v>
      </c>
      <c r="D139" s="1339"/>
      <c r="E139" s="1339"/>
      <c r="F139" s="1339"/>
      <c r="G139" s="1339"/>
    </row>
    <row r="140" spans="1:7" s="278" customFormat="1" ht="21.75" customHeight="1">
      <c r="A140" s="462"/>
      <c r="B140" s="291"/>
      <c r="C140" s="292">
        <f>SUM(C125:C139)</f>
        <v>326520</v>
      </c>
      <c r="D140" s="1339"/>
      <c r="E140" s="1339"/>
      <c r="F140" s="1339"/>
      <c r="G140" s="1339"/>
    </row>
    <row r="141" spans="1:7" s="349" customFormat="1" ht="37.5" customHeight="1">
      <c r="A141" s="376" t="s">
        <v>776</v>
      </c>
      <c r="B141" s="1486" t="s">
        <v>777</v>
      </c>
      <c r="C141" s="1487"/>
      <c r="D141" s="1339"/>
      <c r="E141" s="1339"/>
      <c r="F141" s="1344"/>
      <c r="G141" s="1344"/>
    </row>
    <row r="142" spans="1:7" s="314" customFormat="1" ht="21.75" customHeight="1">
      <c r="A142" s="466"/>
      <c r="B142" s="373" t="s">
        <v>506</v>
      </c>
      <c r="C142" s="374"/>
      <c r="D142" s="1339"/>
      <c r="E142" s="1339"/>
      <c r="F142" s="1343"/>
      <c r="G142" s="1343"/>
    </row>
    <row r="143" spans="1:7" s="278" customFormat="1" ht="18" customHeight="1">
      <c r="A143" s="466"/>
      <c r="B143" s="373" t="s">
        <v>778</v>
      </c>
      <c r="C143" s="374"/>
      <c r="D143" s="1339"/>
      <c r="E143" s="1339"/>
      <c r="F143" s="1339"/>
      <c r="G143" s="1339"/>
    </row>
    <row r="144" spans="1:7" s="278" customFormat="1" ht="38.25" customHeight="1">
      <c r="A144" s="466"/>
      <c r="B144" s="1477" t="s">
        <v>779</v>
      </c>
      <c r="C144" s="1476"/>
      <c r="D144" s="1339"/>
      <c r="E144" s="1339"/>
      <c r="F144" s="1339"/>
      <c r="G144" s="1339"/>
    </row>
    <row r="145" spans="1:7" s="349" customFormat="1">
      <c r="A145" s="466"/>
      <c r="B145" s="373" t="s">
        <v>780</v>
      </c>
      <c r="C145" s="374"/>
      <c r="D145" s="1339"/>
      <c r="E145" s="1339"/>
      <c r="F145" s="1344"/>
      <c r="G145" s="1344"/>
    </row>
    <row r="146" spans="1:7" s="314" customFormat="1" ht="21.75" customHeight="1">
      <c r="A146" s="482"/>
      <c r="B146" s="481" t="s">
        <v>769</v>
      </c>
      <c r="C146" s="467"/>
      <c r="D146" s="1339"/>
      <c r="E146" s="1339"/>
      <c r="F146" s="1343"/>
      <c r="G146" s="1343"/>
    </row>
    <row r="147" spans="1:7" s="278" customFormat="1">
      <c r="A147" s="370"/>
      <c r="B147" s="320" t="s">
        <v>781</v>
      </c>
      <c r="C147" s="387"/>
      <c r="D147" s="1344"/>
      <c r="E147" s="1344"/>
      <c r="F147" s="1339"/>
      <c r="G147" s="1339"/>
    </row>
    <row r="148" spans="1:7" s="349" customFormat="1">
      <c r="A148" s="454">
        <v>1</v>
      </c>
      <c r="B148" s="448" t="s">
        <v>758</v>
      </c>
      <c r="C148" s="446">
        <v>1920</v>
      </c>
      <c r="D148" s="1344"/>
      <c r="E148" s="1344"/>
      <c r="F148" s="1344"/>
      <c r="G148" s="1344"/>
    </row>
    <row r="149" spans="1:7" s="349" customFormat="1">
      <c r="A149" s="327">
        <v>2</v>
      </c>
      <c r="B149" s="449" t="s">
        <v>782</v>
      </c>
      <c r="C149" s="361">
        <v>1600</v>
      </c>
      <c r="D149" s="1344"/>
      <c r="E149" s="1344"/>
      <c r="F149" s="1344"/>
      <c r="G149" s="1344"/>
    </row>
    <row r="150" spans="1:7" s="278" customFormat="1">
      <c r="A150" s="327">
        <v>4</v>
      </c>
      <c r="B150" s="450" t="s">
        <v>761</v>
      </c>
      <c r="C150" s="361">
        <v>5000</v>
      </c>
      <c r="D150" s="1339"/>
      <c r="E150" s="1339"/>
      <c r="F150" s="1339"/>
      <c r="G150" s="1339"/>
    </row>
    <row r="151" spans="1:7" s="278" customFormat="1">
      <c r="A151" s="455">
        <v>5</v>
      </c>
      <c r="B151" s="451" t="s">
        <v>783</v>
      </c>
      <c r="C151" s="332">
        <v>20000</v>
      </c>
      <c r="D151" s="1339"/>
      <c r="E151" s="1339"/>
      <c r="F151" s="1339"/>
      <c r="G151" s="1339"/>
    </row>
    <row r="152" spans="1:7" s="278" customFormat="1">
      <c r="A152" s="456"/>
      <c r="B152" s="452"/>
      <c r="C152" s="371"/>
      <c r="D152" s="1339"/>
      <c r="E152" s="1339"/>
      <c r="F152" s="1339"/>
      <c r="G152" s="1339"/>
    </row>
    <row r="153" spans="1:7" s="278" customFormat="1">
      <c r="A153" s="372">
        <v>4</v>
      </c>
      <c r="B153" s="320" t="s">
        <v>763</v>
      </c>
      <c r="C153" s="321"/>
      <c r="D153" s="1344"/>
      <c r="E153" s="1344"/>
      <c r="F153" s="1339"/>
      <c r="G153" s="1339"/>
    </row>
    <row r="154" spans="1:7" s="278" customFormat="1">
      <c r="A154" s="282">
        <v>4.0999999999999996</v>
      </c>
      <c r="B154" s="278" t="s">
        <v>34</v>
      </c>
      <c r="C154" s="302">
        <v>8400</v>
      </c>
      <c r="D154" s="1339"/>
      <c r="E154" s="1339"/>
      <c r="F154" s="1339"/>
      <c r="G154" s="1339"/>
    </row>
    <row r="155" spans="1:7" s="278" customFormat="1">
      <c r="A155" s="282">
        <v>4.2</v>
      </c>
      <c r="B155" s="337" t="s">
        <v>640</v>
      </c>
      <c r="C155" s="302">
        <v>10000</v>
      </c>
      <c r="D155" s="1339"/>
      <c r="E155" s="1339"/>
      <c r="F155" s="1339"/>
      <c r="G155" s="1339"/>
    </row>
    <row r="156" spans="1:7" s="278" customFormat="1">
      <c r="A156" s="282">
        <v>4.3</v>
      </c>
      <c r="B156" s="278" t="s">
        <v>14</v>
      </c>
      <c r="C156" s="302">
        <v>5000</v>
      </c>
      <c r="D156" s="1339"/>
      <c r="E156" s="1339"/>
      <c r="F156" s="1339"/>
      <c r="G156" s="1339"/>
    </row>
    <row r="157" spans="1:7" s="278" customFormat="1">
      <c r="A157" s="282">
        <v>4.4000000000000004</v>
      </c>
      <c r="B157" s="338" t="s">
        <v>35</v>
      </c>
      <c r="C157" s="302">
        <v>5000</v>
      </c>
      <c r="D157" s="1339"/>
      <c r="E157" s="1339"/>
      <c r="F157" s="1339"/>
      <c r="G157" s="1339"/>
    </row>
    <row r="158" spans="1:7" s="278" customFormat="1">
      <c r="A158" s="282">
        <v>4.5</v>
      </c>
      <c r="B158" s="338" t="s">
        <v>15</v>
      </c>
      <c r="C158" s="302">
        <v>25000</v>
      </c>
      <c r="D158" s="1339"/>
      <c r="E158" s="1339"/>
      <c r="F158" s="1339"/>
      <c r="G158" s="1339"/>
    </row>
    <row r="159" spans="1:7" s="278" customFormat="1">
      <c r="A159" s="282">
        <v>4.5999999999999996</v>
      </c>
      <c r="B159" s="278" t="s">
        <v>641</v>
      </c>
      <c r="C159" s="302">
        <v>1200</v>
      </c>
      <c r="D159" s="1339"/>
      <c r="E159" s="1339"/>
      <c r="F159" s="1339"/>
      <c r="G159" s="1339"/>
    </row>
    <row r="160" spans="1:7" s="278" customFormat="1">
      <c r="A160" s="282">
        <v>4.7</v>
      </c>
      <c r="B160" s="278" t="s">
        <v>764</v>
      </c>
      <c r="C160" s="302">
        <v>2400</v>
      </c>
      <c r="D160" s="1339"/>
      <c r="E160" s="1339"/>
      <c r="F160" s="1339"/>
      <c r="G160" s="1339"/>
    </row>
    <row r="161" spans="1:7" s="278" customFormat="1">
      <c r="A161" s="282">
        <v>4.9000000000000004</v>
      </c>
      <c r="B161" s="310" t="s">
        <v>611</v>
      </c>
      <c r="C161" s="302">
        <v>5000</v>
      </c>
      <c r="D161" s="1339"/>
      <c r="E161" s="1339"/>
      <c r="F161" s="1339"/>
      <c r="G161" s="1339"/>
    </row>
    <row r="162" spans="1:7" s="278" customFormat="1" ht="21.75" customHeight="1">
      <c r="A162" s="462"/>
      <c r="B162" s="291"/>
      <c r="C162" s="292">
        <f>SUM(C148:C161)</f>
        <v>90520</v>
      </c>
      <c r="D162" s="1339"/>
      <c r="E162" s="1339"/>
      <c r="F162" s="1339"/>
      <c r="G162" s="1339"/>
    </row>
    <row r="163" spans="1:7" s="278" customFormat="1" ht="39.75" customHeight="1">
      <c r="A163" s="319" t="s">
        <v>784</v>
      </c>
      <c r="B163" s="1462" t="s">
        <v>785</v>
      </c>
      <c r="C163" s="1463"/>
      <c r="D163" s="1339"/>
      <c r="E163" s="1339"/>
      <c r="F163" s="1339"/>
      <c r="G163" s="1339"/>
    </row>
    <row r="164" spans="1:7" s="278" customFormat="1" ht="21.75" customHeight="1">
      <c r="A164" s="377"/>
      <c r="B164" s="373" t="s">
        <v>506</v>
      </c>
      <c r="C164" s="374"/>
      <c r="D164" s="1339"/>
      <c r="E164" s="1339"/>
      <c r="F164" s="1339"/>
      <c r="G164" s="1339"/>
    </row>
    <row r="165" spans="1:7" s="278" customFormat="1">
      <c r="A165" s="377"/>
      <c r="B165" s="373" t="s">
        <v>786</v>
      </c>
      <c r="C165" s="374"/>
      <c r="D165" s="1339"/>
      <c r="E165" s="1339"/>
      <c r="F165" s="1339"/>
      <c r="G165" s="1339"/>
    </row>
    <row r="166" spans="1:7" s="278" customFormat="1">
      <c r="A166" s="377"/>
      <c r="B166" s="373" t="s">
        <v>787</v>
      </c>
      <c r="C166" s="374"/>
      <c r="D166" s="1339"/>
      <c r="E166" s="1339"/>
      <c r="F166" s="1339"/>
      <c r="G166" s="1339"/>
    </row>
    <row r="167" spans="1:7" s="278" customFormat="1" ht="39" customHeight="1">
      <c r="A167" s="377"/>
      <c r="B167" s="1475" t="s">
        <v>788</v>
      </c>
      <c r="C167" s="1476"/>
      <c r="D167" s="1339"/>
      <c r="E167" s="1339"/>
      <c r="F167" s="1339"/>
      <c r="G167" s="1339"/>
    </row>
    <row r="168" spans="1:7" s="278" customFormat="1">
      <c r="A168" s="464"/>
      <c r="B168" s="481" t="s">
        <v>789</v>
      </c>
      <c r="C168" s="467"/>
      <c r="D168" s="1339"/>
      <c r="E168" s="1339"/>
      <c r="F168" s="1339"/>
      <c r="G168" s="1339"/>
    </row>
    <row r="169" spans="1:7" s="278" customFormat="1" ht="39" customHeight="1">
      <c r="A169" s="308"/>
      <c r="B169" s="1458" t="s">
        <v>999</v>
      </c>
      <c r="C169" s="1459"/>
      <c r="D169" s="1339"/>
      <c r="E169" s="1339"/>
      <c r="F169" s="1339"/>
      <c r="G169" s="1339"/>
    </row>
    <row r="170" spans="1:7" s="278" customFormat="1">
      <c r="A170" s="327">
        <v>1</v>
      </c>
      <c r="B170" s="288" t="s">
        <v>790</v>
      </c>
      <c r="C170" s="332">
        <v>135000</v>
      </c>
      <c r="D170" s="1339"/>
      <c r="E170" s="1339"/>
      <c r="F170" s="1339"/>
      <c r="G170" s="1339"/>
    </row>
    <row r="171" spans="1:7" s="278" customFormat="1">
      <c r="A171" s="327">
        <v>2</v>
      </c>
      <c r="B171" s="288" t="s">
        <v>791</v>
      </c>
      <c r="C171" s="332">
        <v>80000</v>
      </c>
      <c r="D171" s="1339"/>
      <c r="E171" s="1339"/>
      <c r="F171" s="1339"/>
      <c r="G171" s="1339"/>
    </row>
    <row r="172" spans="1:7" s="349" customFormat="1">
      <c r="A172" s="327">
        <v>3</v>
      </c>
      <c r="B172" s="314" t="s">
        <v>758</v>
      </c>
      <c r="C172" s="361">
        <v>1920</v>
      </c>
      <c r="D172" s="1344"/>
      <c r="E172" s="1344"/>
      <c r="F172" s="1344"/>
      <c r="G172" s="1344"/>
    </row>
    <row r="173" spans="1:7" s="349" customFormat="1">
      <c r="A173" s="327">
        <v>4</v>
      </c>
      <c r="B173" s="314" t="s">
        <v>782</v>
      </c>
      <c r="C173" s="361">
        <v>1600</v>
      </c>
      <c r="D173" s="1344"/>
      <c r="E173" s="1344"/>
      <c r="F173" s="1344"/>
      <c r="G173" s="1344"/>
    </row>
    <row r="174" spans="1:7" s="278" customFormat="1">
      <c r="A174" s="327">
        <v>5</v>
      </c>
      <c r="B174" s="347" t="s">
        <v>792</v>
      </c>
      <c r="C174" s="361">
        <v>5000</v>
      </c>
      <c r="D174" s="1339"/>
      <c r="E174" s="1339"/>
      <c r="F174" s="1339"/>
      <c r="G174" s="1339"/>
    </row>
    <row r="175" spans="1:7" s="278" customFormat="1">
      <c r="A175" s="483">
        <v>6</v>
      </c>
      <c r="B175" s="465" t="s">
        <v>793</v>
      </c>
      <c r="C175" s="371">
        <v>20000</v>
      </c>
      <c r="D175" s="1339"/>
      <c r="E175" s="1339"/>
      <c r="F175" s="1339"/>
      <c r="G175" s="1339"/>
    </row>
    <row r="176" spans="1:7" s="278" customFormat="1" ht="22.5" customHeight="1">
      <c r="A176" s="378"/>
      <c r="B176" s="335" t="s">
        <v>794</v>
      </c>
      <c r="C176" s="336"/>
      <c r="D176" s="1339"/>
      <c r="E176" s="1339"/>
      <c r="F176" s="1339"/>
      <c r="G176" s="1339"/>
    </row>
    <row r="177" spans="1:7" s="278" customFormat="1">
      <c r="A177" s="327"/>
      <c r="B177" s="379"/>
      <c r="C177" s="380" t="s">
        <v>1</v>
      </c>
      <c r="D177" s="1339"/>
      <c r="E177" s="1339"/>
      <c r="F177" s="1339"/>
      <c r="G177" s="1339"/>
    </row>
    <row r="178" spans="1:7" s="278" customFormat="1">
      <c r="A178" s="282">
        <v>1</v>
      </c>
      <c r="B178" s="278" t="s">
        <v>34</v>
      </c>
      <c r="C178" s="302">
        <v>8400</v>
      </c>
      <c r="D178" s="1339"/>
      <c r="E178" s="1339"/>
      <c r="F178" s="1339"/>
      <c r="G178" s="1339"/>
    </row>
    <row r="179" spans="1:7" s="278" customFormat="1">
      <c r="A179" s="282">
        <v>2</v>
      </c>
      <c r="B179" s="337" t="s">
        <v>640</v>
      </c>
      <c r="C179" s="302">
        <v>10000</v>
      </c>
      <c r="D179" s="1339"/>
      <c r="E179" s="1339"/>
      <c r="F179" s="1339"/>
      <c r="G179" s="1339"/>
    </row>
    <row r="180" spans="1:7" s="278" customFormat="1">
      <c r="A180" s="282">
        <v>3</v>
      </c>
      <c r="B180" s="278" t="s">
        <v>14</v>
      </c>
      <c r="C180" s="302">
        <v>5000</v>
      </c>
      <c r="D180" s="1339"/>
      <c r="E180" s="1339"/>
      <c r="F180" s="1339"/>
      <c r="G180" s="1339"/>
    </row>
    <row r="181" spans="1:7" s="278" customFormat="1">
      <c r="A181" s="282">
        <v>4</v>
      </c>
      <c r="B181" s="338" t="s">
        <v>35</v>
      </c>
      <c r="C181" s="302">
        <v>5000</v>
      </c>
      <c r="D181" s="1339"/>
      <c r="E181" s="1339"/>
      <c r="F181" s="1339"/>
      <c r="G181" s="1339"/>
    </row>
    <row r="182" spans="1:7" s="278" customFormat="1">
      <c r="A182" s="282">
        <v>5</v>
      </c>
      <c r="B182" s="338" t="s">
        <v>15</v>
      </c>
      <c r="C182" s="302">
        <v>25000</v>
      </c>
      <c r="D182" s="1339"/>
      <c r="E182" s="1339"/>
      <c r="F182" s="1339"/>
      <c r="G182" s="1339"/>
    </row>
    <row r="183" spans="1:7" s="278" customFormat="1">
      <c r="A183" s="282">
        <v>6</v>
      </c>
      <c r="B183" s="278" t="s">
        <v>641</v>
      </c>
      <c r="C183" s="302">
        <v>1200</v>
      </c>
      <c r="D183" s="1339"/>
      <c r="E183" s="1339"/>
      <c r="F183" s="1339"/>
      <c r="G183" s="1339"/>
    </row>
    <row r="184" spans="1:7" s="278" customFormat="1">
      <c r="A184" s="282">
        <v>7</v>
      </c>
      <c r="B184" s="278" t="s">
        <v>764</v>
      </c>
      <c r="C184" s="302">
        <v>2400</v>
      </c>
      <c r="D184" s="1339"/>
      <c r="E184" s="1339"/>
      <c r="F184" s="1339"/>
      <c r="G184" s="1339"/>
    </row>
    <row r="185" spans="1:7" s="278" customFormat="1">
      <c r="A185" s="282">
        <v>8</v>
      </c>
      <c r="B185" s="310" t="s">
        <v>611</v>
      </c>
      <c r="C185" s="302">
        <v>5000</v>
      </c>
      <c r="D185" s="1339"/>
      <c r="E185" s="1339"/>
      <c r="F185" s="1339"/>
      <c r="G185" s="1339"/>
    </row>
    <row r="186" spans="1:7" s="278" customFormat="1" ht="21">
      <c r="A186" s="462"/>
      <c r="B186" s="291"/>
      <c r="C186" s="292">
        <f>SUM(C170:C185)</f>
        <v>305520</v>
      </c>
      <c r="D186" s="1339"/>
      <c r="E186" s="1339"/>
      <c r="F186" s="1339"/>
      <c r="G186" s="1339"/>
    </row>
    <row r="187" spans="1:7" s="314" customFormat="1" ht="21.75" customHeight="1">
      <c r="A187" s="381" t="s">
        <v>795</v>
      </c>
      <c r="B187" s="1458" t="s">
        <v>796</v>
      </c>
      <c r="C187" s="1459"/>
      <c r="D187" s="1339"/>
      <c r="E187" s="1339"/>
      <c r="F187" s="1343"/>
      <c r="G187" s="1343"/>
    </row>
    <row r="188" spans="1:7" s="314" customFormat="1" ht="21.75" customHeight="1">
      <c r="A188" s="382"/>
      <c r="B188" s="383" t="s">
        <v>797</v>
      </c>
      <c r="C188" s="384"/>
      <c r="D188" s="1339"/>
      <c r="E188" s="1339"/>
      <c r="F188" s="1343"/>
      <c r="G188" s="1343"/>
    </row>
    <row r="189" spans="1:7" s="278" customFormat="1" ht="18" customHeight="1">
      <c r="A189" s="420"/>
      <c r="B189" s="1482" t="s">
        <v>798</v>
      </c>
      <c r="C189" s="1483"/>
      <c r="D189" s="1339"/>
      <c r="E189" s="1339"/>
      <c r="F189" s="1339"/>
      <c r="G189" s="1339"/>
    </row>
    <row r="190" spans="1:7" s="314" customFormat="1" ht="21.75" customHeight="1">
      <c r="A190" s="420"/>
      <c r="B190" s="1475" t="s">
        <v>799</v>
      </c>
      <c r="C190" s="1476"/>
      <c r="D190" s="1339"/>
      <c r="E190" s="1339"/>
      <c r="F190" s="1343"/>
      <c r="G190" s="1343"/>
    </row>
    <row r="191" spans="1:7" s="314" customFormat="1" ht="21.75" customHeight="1">
      <c r="A191" s="420"/>
      <c r="B191" s="1475" t="s">
        <v>800</v>
      </c>
      <c r="C191" s="1476"/>
      <c r="D191" s="1339"/>
      <c r="E191" s="1339"/>
      <c r="F191" s="1343"/>
      <c r="G191" s="1343"/>
    </row>
    <row r="192" spans="1:7" s="314" customFormat="1" ht="21.75" customHeight="1">
      <c r="A192" s="385"/>
      <c r="B192" s="1468" t="s">
        <v>801</v>
      </c>
      <c r="C192" s="1469"/>
      <c r="D192" s="1339"/>
      <c r="E192" s="1339"/>
      <c r="F192" s="1343"/>
      <c r="G192" s="1343"/>
    </row>
    <row r="193" spans="1:7" s="314" customFormat="1" ht="21.75" customHeight="1">
      <c r="A193" s="308"/>
      <c r="B193" s="386" t="s">
        <v>802</v>
      </c>
      <c r="C193" s="387"/>
      <c r="D193" s="1339"/>
      <c r="E193" s="1339"/>
      <c r="F193" s="1343"/>
      <c r="G193" s="1343"/>
    </row>
    <row r="194" spans="1:7" s="278" customFormat="1">
      <c r="A194" s="311"/>
      <c r="B194" s="388" t="s">
        <v>803</v>
      </c>
      <c r="C194" s="389"/>
      <c r="D194" s="1343"/>
      <c r="E194" s="1343"/>
      <c r="F194" s="1339"/>
      <c r="G194" s="1339"/>
    </row>
    <row r="195" spans="1:7" s="314" customFormat="1">
      <c r="A195" s="327">
        <v>1</v>
      </c>
      <c r="B195" s="288" t="s">
        <v>804</v>
      </c>
      <c r="C195" s="332">
        <v>20000</v>
      </c>
      <c r="D195" s="1339"/>
      <c r="E195" s="1339"/>
      <c r="F195" s="1343"/>
      <c r="G195" s="1343"/>
    </row>
    <row r="196" spans="1:7" s="349" customFormat="1">
      <c r="A196" s="342">
        <v>2</v>
      </c>
      <c r="B196" s="314" t="s">
        <v>805</v>
      </c>
      <c r="C196" s="361">
        <v>9600</v>
      </c>
      <c r="D196" s="1344"/>
      <c r="E196" s="1344"/>
      <c r="F196" s="1344"/>
      <c r="G196" s="1344"/>
    </row>
    <row r="197" spans="1:7" s="349" customFormat="1">
      <c r="A197" s="327">
        <v>3</v>
      </c>
      <c r="B197" s="314" t="s">
        <v>806</v>
      </c>
      <c r="C197" s="361">
        <v>8000</v>
      </c>
      <c r="D197" s="1344"/>
      <c r="E197" s="1344"/>
      <c r="F197" s="1344"/>
      <c r="G197" s="1344"/>
    </row>
    <row r="198" spans="1:7" s="278" customFormat="1">
      <c r="A198" s="483">
        <v>4</v>
      </c>
      <c r="B198" s="484" t="s">
        <v>807</v>
      </c>
      <c r="C198" s="390">
        <v>25000</v>
      </c>
      <c r="D198" s="1339"/>
      <c r="E198" s="1339"/>
      <c r="F198" s="1339"/>
      <c r="G198" s="1339"/>
    </row>
    <row r="199" spans="1:7" s="278" customFormat="1">
      <c r="A199" s="378"/>
      <c r="B199" s="335" t="s">
        <v>808</v>
      </c>
      <c r="C199" s="336"/>
      <c r="D199" s="1343"/>
      <c r="E199" s="1343"/>
      <c r="F199" s="1339"/>
      <c r="G199" s="1339"/>
    </row>
    <row r="200" spans="1:7" s="278" customFormat="1">
      <c r="A200" s="282">
        <v>1</v>
      </c>
      <c r="B200" s="278" t="s">
        <v>34</v>
      </c>
      <c r="C200" s="302">
        <v>8400</v>
      </c>
      <c r="D200" s="1339"/>
      <c r="E200" s="1339"/>
      <c r="F200" s="1339"/>
      <c r="G200" s="1339"/>
    </row>
    <row r="201" spans="1:7" s="278" customFormat="1">
      <c r="A201" s="282">
        <v>2</v>
      </c>
      <c r="B201" s="337" t="s">
        <v>640</v>
      </c>
      <c r="C201" s="302">
        <v>10000</v>
      </c>
      <c r="D201" s="1343"/>
      <c r="E201" s="1343"/>
      <c r="F201" s="1339"/>
      <c r="G201" s="1339"/>
    </row>
    <row r="202" spans="1:7" s="278" customFormat="1">
      <c r="A202" s="282">
        <v>3</v>
      </c>
      <c r="B202" s="278" t="s">
        <v>14</v>
      </c>
      <c r="C202" s="302">
        <v>5000</v>
      </c>
      <c r="D202" s="1343"/>
      <c r="E202" s="1343"/>
      <c r="F202" s="1339"/>
      <c r="G202" s="1339"/>
    </row>
    <row r="203" spans="1:7" s="278" customFormat="1">
      <c r="A203" s="282">
        <v>4</v>
      </c>
      <c r="B203" s="338" t="s">
        <v>35</v>
      </c>
      <c r="C203" s="302">
        <v>5000</v>
      </c>
      <c r="D203" s="1343"/>
      <c r="E203" s="1349"/>
      <c r="F203" s="1339"/>
      <c r="G203" s="1339"/>
    </row>
    <row r="204" spans="1:7" s="278" customFormat="1">
      <c r="A204" s="282">
        <v>5</v>
      </c>
      <c r="B204" s="338" t="s">
        <v>15</v>
      </c>
      <c r="C204" s="302">
        <v>25000</v>
      </c>
      <c r="D204" s="1339"/>
      <c r="E204" s="1339"/>
      <c r="F204" s="1339"/>
      <c r="G204" s="1339"/>
    </row>
    <row r="205" spans="1:7" s="278" customFormat="1">
      <c r="A205" s="282">
        <v>6</v>
      </c>
      <c r="B205" s="278" t="s">
        <v>641</v>
      </c>
      <c r="C205" s="302">
        <v>1200</v>
      </c>
      <c r="D205" s="1339"/>
      <c r="E205" s="1339"/>
      <c r="F205" s="1339"/>
      <c r="G205" s="1339"/>
    </row>
    <row r="206" spans="1:7" s="278" customFormat="1">
      <c r="A206" s="282">
        <v>7</v>
      </c>
      <c r="B206" s="278" t="s">
        <v>764</v>
      </c>
      <c r="C206" s="302">
        <v>2400</v>
      </c>
      <c r="D206" s="1339"/>
      <c r="E206" s="1339"/>
      <c r="F206" s="1339"/>
      <c r="G206" s="1339"/>
    </row>
    <row r="207" spans="1:7" s="314" customFormat="1">
      <c r="A207" s="282">
        <v>8</v>
      </c>
      <c r="B207" s="310" t="s">
        <v>611</v>
      </c>
      <c r="C207" s="302">
        <v>5000</v>
      </c>
      <c r="D207" s="1339"/>
      <c r="E207" s="1339"/>
      <c r="F207" s="1349"/>
      <c r="G207" s="1343"/>
    </row>
    <row r="208" spans="1:7" s="314" customFormat="1" ht="29.25" customHeight="1">
      <c r="A208" s="385"/>
      <c r="B208" s="391"/>
      <c r="C208" s="392">
        <f>SUM(C195:C207)</f>
        <v>124600</v>
      </c>
      <c r="D208" s="1339"/>
      <c r="E208" s="1339"/>
      <c r="F208" s="1349"/>
      <c r="G208" s="1343"/>
    </row>
    <row r="209" spans="1:7" s="314" customFormat="1" ht="24" customHeight="1">
      <c r="A209" s="378" t="s">
        <v>809</v>
      </c>
      <c r="B209" s="1462" t="s">
        <v>810</v>
      </c>
      <c r="C209" s="1463"/>
      <c r="D209" s="1339"/>
      <c r="E209" s="1339"/>
      <c r="F209" s="1349"/>
      <c r="G209" s="1343"/>
    </row>
    <row r="210" spans="1:7" s="314" customFormat="1" ht="21">
      <c r="A210" s="420"/>
      <c r="B210" s="393" t="s">
        <v>506</v>
      </c>
      <c r="C210" s="394"/>
      <c r="D210" s="1339"/>
      <c r="E210" s="1339"/>
      <c r="F210" s="1349"/>
      <c r="G210" s="1343"/>
    </row>
    <row r="211" spans="1:7" s="314" customFormat="1" ht="18.75" customHeight="1">
      <c r="A211" s="420"/>
      <c r="B211" s="1475" t="s">
        <v>811</v>
      </c>
      <c r="C211" s="1476"/>
      <c r="D211" s="1339"/>
      <c r="E211" s="1339"/>
      <c r="F211" s="1349"/>
      <c r="G211" s="1343"/>
    </row>
    <row r="212" spans="1:7" s="314" customFormat="1" ht="18.75" customHeight="1">
      <c r="A212" s="420"/>
      <c r="B212" s="1475" t="s">
        <v>812</v>
      </c>
      <c r="C212" s="1476"/>
      <c r="D212" s="1339"/>
      <c r="E212" s="1339"/>
      <c r="F212" s="1349"/>
      <c r="G212" s="1343"/>
    </row>
    <row r="213" spans="1:7" s="314" customFormat="1" ht="18.75" customHeight="1">
      <c r="A213" s="420"/>
      <c r="B213" s="1475" t="s">
        <v>813</v>
      </c>
      <c r="C213" s="1476"/>
      <c r="D213" s="1339"/>
      <c r="E213" s="1339"/>
      <c r="F213" s="1349"/>
      <c r="G213" s="1343"/>
    </row>
    <row r="214" spans="1:7" s="314" customFormat="1" ht="18.75" customHeight="1">
      <c r="A214" s="420"/>
      <c r="B214" s="1475" t="s">
        <v>814</v>
      </c>
      <c r="C214" s="1476"/>
      <c r="D214" s="1339"/>
      <c r="E214" s="1339"/>
      <c r="F214" s="1349"/>
      <c r="G214" s="1343"/>
    </row>
    <row r="215" spans="1:7" s="314" customFormat="1">
      <c r="A215" s="420"/>
      <c r="B215" s="1475" t="s">
        <v>815</v>
      </c>
      <c r="C215" s="1476"/>
      <c r="D215" s="1339"/>
      <c r="E215" s="1339"/>
      <c r="F215" s="1349"/>
      <c r="G215" s="1343"/>
    </row>
    <row r="216" spans="1:7" s="314" customFormat="1" ht="18.75" customHeight="1">
      <c r="A216" s="385"/>
      <c r="B216" s="1468" t="s">
        <v>816</v>
      </c>
      <c r="C216" s="1469"/>
      <c r="D216" s="1339"/>
      <c r="E216" s="1339"/>
      <c r="F216" s="1349"/>
      <c r="G216" s="1343"/>
    </row>
    <row r="217" spans="1:7" s="314" customFormat="1" ht="18.75" customHeight="1">
      <c r="A217" s="381"/>
      <c r="B217" s="1458" t="s">
        <v>817</v>
      </c>
      <c r="C217" s="1459"/>
      <c r="D217" s="1339"/>
      <c r="E217" s="1339"/>
      <c r="F217" s="1349"/>
      <c r="G217" s="1343"/>
    </row>
    <row r="218" spans="1:7" s="314" customFormat="1" ht="18.75" customHeight="1">
      <c r="A218" s="382"/>
      <c r="B218" s="1460" t="s">
        <v>812</v>
      </c>
      <c r="C218" s="1461"/>
      <c r="D218" s="1339"/>
      <c r="E218" s="1339"/>
      <c r="F218" s="1349"/>
      <c r="G218" s="1343"/>
    </row>
    <row r="219" spans="1:7" s="278" customFormat="1">
      <c r="A219" s="282">
        <v>1</v>
      </c>
      <c r="B219" s="278" t="s">
        <v>34</v>
      </c>
      <c r="C219" s="302">
        <v>8400</v>
      </c>
      <c r="D219" s="1339"/>
      <c r="E219" s="1339"/>
      <c r="F219" s="1339"/>
      <c r="G219" s="1339"/>
    </row>
    <row r="220" spans="1:7" s="278" customFormat="1">
      <c r="A220" s="282">
        <v>2</v>
      </c>
      <c r="B220" s="337" t="s">
        <v>554</v>
      </c>
      <c r="C220" s="302">
        <v>20000</v>
      </c>
      <c r="D220" s="1339"/>
      <c r="E220" s="1339"/>
      <c r="F220" s="1339"/>
      <c r="G220" s="1339"/>
    </row>
    <row r="221" spans="1:7" s="278" customFormat="1">
      <c r="A221" s="282">
        <v>3</v>
      </c>
      <c r="B221" s="278" t="s">
        <v>14</v>
      </c>
      <c r="C221" s="302">
        <v>5000</v>
      </c>
      <c r="D221" s="1339"/>
      <c r="E221" s="1339"/>
      <c r="F221" s="1339"/>
      <c r="G221" s="1339"/>
    </row>
    <row r="222" spans="1:7" s="349" customFormat="1">
      <c r="A222" s="282">
        <v>4</v>
      </c>
      <c r="B222" s="338" t="s">
        <v>555</v>
      </c>
      <c r="C222" s="302">
        <v>10000</v>
      </c>
      <c r="D222" s="1339"/>
      <c r="E222" s="1339"/>
      <c r="F222" s="1344"/>
      <c r="G222" s="1344"/>
    </row>
    <row r="223" spans="1:7" s="278" customFormat="1">
      <c r="A223" s="282">
        <v>5</v>
      </c>
      <c r="B223" s="338" t="s">
        <v>556</v>
      </c>
      <c r="C223" s="302">
        <v>50000</v>
      </c>
      <c r="D223" s="1339"/>
      <c r="E223" s="1339"/>
      <c r="F223" s="1339"/>
      <c r="G223" s="1339"/>
    </row>
    <row r="224" spans="1:7" s="278" customFormat="1">
      <c r="A224" s="282">
        <v>6</v>
      </c>
      <c r="B224" s="278" t="s">
        <v>818</v>
      </c>
      <c r="C224" s="302">
        <v>1200</v>
      </c>
      <c r="D224" s="1339"/>
      <c r="E224" s="1339"/>
      <c r="F224" s="1339"/>
      <c r="G224" s="1339"/>
    </row>
    <row r="225" spans="1:7" s="278" customFormat="1" ht="18.75" customHeight="1">
      <c r="A225" s="462">
        <v>9</v>
      </c>
      <c r="B225" s="473" t="s">
        <v>819</v>
      </c>
      <c r="C225" s="333">
        <v>2500</v>
      </c>
      <c r="D225" s="1339"/>
      <c r="E225" s="1339"/>
      <c r="F225" s="1339"/>
      <c r="G225" s="1339"/>
    </row>
    <row r="226" spans="1:7" s="314" customFormat="1" ht="18.75" customHeight="1">
      <c r="A226" s="378"/>
      <c r="B226" s="395" t="s">
        <v>820</v>
      </c>
      <c r="C226" s="396"/>
      <c r="D226" s="1339"/>
      <c r="E226" s="1339"/>
      <c r="F226" s="1349"/>
      <c r="G226" s="1343"/>
    </row>
    <row r="227" spans="1:7" s="314" customFormat="1">
      <c r="A227" s="327">
        <v>1</v>
      </c>
      <c r="B227" s="288" t="s">
        <v>821</v>
      </c>
      <c r="C227" s="332">
        <v>60000</v>
      </c>
      <c r="D227" s="1339"/>
      <c r="E227" s="1339"/>
      <c r="F227" s="1343"/>
      <c r="G227" s="1343"/>
    </row>
    <row r="228" spans="1:7" s="314" customFormat="1">
      <c r="A228" s="327">
        <v>2</v>
      </c>
      <c r="B228" s="288" t="s">
        <v>804</v>
      </c>
      <c r="C228" s="332">
        <v>20000</v>
      </c>
      <c r="D228" s="1339"/>
      <c r="E228" s="1339"/>
      <c r="F228" s="1343"/>
      <c r="G228" s="1343"/>
    </row>
    <row r="229" spans="1:7" s="349" customFormat="1">
      <c r="A229" s="342">
        <v>3</v>
      </c>
      <c r="B229" s="314" t="s">
        <v>805</v>
      </c>
      <c r="C229" s="361">
        <v>9600</v>
      </c>
      <c r="D229" s="1344"/>
      <c r="E229" s="1344"/>
      <c r="F229" s="1344"/>
      <c r="G229" s="1344"/>
    </row>
    <row r="230" spans="1:7" s="349" customFormat="1">
      <c r="A230" s="327">
        <v>4</v>
      </c>
      <c r="B230" s="314" t="s">
        <v>806</v>
      </c>
      <c r="C230" s="361">
        <v>8000</v>
      </c>
      <c r="D230" s="1344"/>
      <c r="E230" s="1344"/>
      <c r="F230" s="1344"/>
      <c r="G230" s="1344"/>
    </row>
    <row r="231" spans="1:7" s="278" customFormat="1">
      <c r="A231" s="483">
        <v>5</v>
      </c>
      <c r="B231" s="484" t="s">
        <v>807</v>
      </c>
      <c r="C231" s="390">
        <v>25000</v>
      </c>
      <c r="D231" s="1339"/>
      <c r="E231" s="1339"/>
      <c r="F231" s="1339"/>
      <c r="G231" s="1339"/>
    </row>
    <row r="232" spans="1:7" s="353" customFormat="1" ht="23.25" customHeight="1">
      <c r="A232" s="397"/>
      <c r="B232" s="398" t="s">
        <v>822</v>
      </c>
      <c r="C232" s="399"/>
      <c r="D232" s="1318"/>
      <c r="E232" s="1318"/>
      <c r="F232" s="1318"/>
      <c r="G232" s="1318"/>
    </row>
    <row r="233" spans="1:7" s="278" customFormat="1">
      <c r="A233" s="327"/>
      <c r="B233" s="400" t="s">
        <v>448</v>
      </c>
      <c r="C233" s="401"/>
      <c r="D233" s="1339"/>
      <c r="E233" s="1339"/>
      <c r="F233" s="1339"/>
      <c r="G233" s="1339"/>
    </row>
    <row r="234" spans="1:7" s="278" customFormat="1">
      <c r="A234" s="327">
        <v>1</v>
      </c>
      <c r="B234" s="288" t="s">
        <v>494</v>
      </c>
      <c r="C234" s="402">
        <v>30000</v>
      </c>
      <c r="D234" s="1339"/>
      <c r="E234" s="1339"/>
      <c r="F234" s="1339"/>
      <c r="G234" s="1339"/>
    </row>
    <row r="235" spans="1:7" s="278" customFormat="1">
      <c r="A235" s="327">
        <v>2</v>
      </c>
      <c r="B235" s="288" t="s">
        <v>602</v>
      </c>
      <c r="C235" s="330">
        <v>200</v>
      </c>
      <c r="D235" s="1339"/>
      <c r="E235" s="1339"/>
      <c r="F235" s="1339"/>
      <c r="G235" s="1339"/>
    </row>
    <row r="236" spans="1:7" s="278" customFormat="1">
      <c r="A236" s="327">
        <v>3</v>
      </c>
      <c r="B236" s="288" t="s">
        <v>603</v>
      </c>
      <c r="C236" s="330">
        <v>3500</v>
      </c>
      <c r="D236" s="1339"/>
      <c r="E236" s="1339"/>
      <c r="F236" s="1339"/>
      <c r="G236" s="1339"/>
    </row>
    <row r="237" spans="1:7" s="278" customFormat="1">
      <c r="A237" s="403">
        <v>4</v>
      </c>
      <c r="B237" s="404" t="s">
        <v>725</v>
      </c>
      <c r="C237" s="330">
        <v>20000</v>
      </c>
      <c r="D237" s="1339"/>
      <c r="E237" s="1339"/>
      <c r="F237" s="1339"/>
      <c r="G237" s="1339"/>
    </row>
    <row r="238" spans="1:7" s="278" customFormat="1" ht="21">
      <c r="A238" s="282"/>
      <c r="B238" s="405" t="s">
        <v>581</v>
      </c>
      <c r="C238" s="406"/>
      <c r="D238" s="1339"/>
      <c r="E238" s="1339"/>
      <c r="F238" s="1339"/>
      <c r="G238" s="1339"/>
    </row>
    <row r="239" spans="1:7" s="278" customFormat="1">
      <c r="A239" s="403">
        <v>1</v>
      </c>
      <c r="B239" s="404" t="s">
        <v>823</v>
      </c>
      <c r="C239" s="407">
        <v>10000</v>
      </c>
      <c r="D239" s="1339"/>
      <c r="E239" s="1339"/>
      <c r="F239" s="1339"/>
      <c r="G239" s="1339"/>
    </row>
    <row r="240" spans="1:7" s="278" customFormat="1">
      <c r="A240" s="403">
        <v>2</v>
      </c>
      <c r="B240" s="404" t="s">
        <v>824</v>
      </c>
      <c r="C240" s="332">
        <v>10000</v>
      </c>
      <c r="D240" s="1339"/>
      <c r="E240" s="1339"/>
      <c r="F240" s="1339"/>
      <c r="G240" s="1339"/>
    </row>
    <row r="241" spans="1:7" s="278" customFormat="1">
      <c r="A241" s="403">
        <v>3</v>
      </c>
      <c r="B241" s="408" t="s">
        <v>637</v>
      </c>
      <c r="C241" s="302">
        <v>3840</v>
      </c>
      <c r="D241" s="1339"/>
      <c r="E241" s="1339"/>
      <c r="F241" s="1339"/>
      <c r="G241" s="1339"/>
    </row>
    <row r="242" spans="1:7" s="278" customFormat="1">
      <c r="A242" s="403">
        <v>4</v>
      </c>
      <c r="B242" s="408" t="s">
        <v>825</v>
      </c>
      <c r="C242" s="302">
        <v>3200</v>
      </c>
      <c r="D242" s="1339"/>
      <c r="E242" s="1339"/>
      <c r="F242" s="1339"/>
      <c r="G242" s="1339"/>
    </row>
    <row r="243" spans="1:7" s="314" customFormat="1">
      <c r="A243" s="485">
        <v>6</v>
      </c>
      <c r="B243" s="486" t="s">
        <v>381</v>
      </c>
      <c r="C243" s="333">
        <v>10000</v>
      </c>
      <c r="D243" s="1339"/>
      <c r="E243" s="1339"/>
      <c r="F243" s="1343"/>
      <c r="G243" s="1343"/>
    </row>
    <row r="244" spans="1:7" s="278" customFormat="1">
      <c r="A244" s="459"/>
      <c r="B244" s="400" t="s">
        <v>586</v>
      </c>
      <c r="C244" s="410"/>
      <c r="D244" s="1339"/>
      <c r="E244" s="1339"/>
      <c r="F244" s="1339"/>
      <c r="G244" s="1339"/>
    </row>
    <row r="245" spans="1:7" s="278" customFormat="1">
      <c r="A245" s="403">
        <v>1</v>
      </c>
      <c r="B245" s="404" t="s">
        <v>823</v>
      </c>
      <c r="C245" s="407">
        <v>10000</v>
      </c>
      <c r="D245" s="1339"/>
      <c r="E245" s="1339"/>
      <c r="F245" s="1339"/>
      <c r="G245" s="1339"/>
    </row>
    <row r="246" spans="1:7" s="278" customFormat="1">
      <c r="A246" s="403">
        <v>2</v>
      </c>
      <c r="B246" s="404" t="s">
        <v>824</v>
      </c>
      <c r="C246" s="332">
        <v>10000</v>
      </c>
      <c r="D246" s="1339"/>
      <c r="E246" s="1339"/>
      <c r="F246" s="1339"/>
      <c r="G246" s="1339"/>
    </row>
    <row r="247" spans="1:7" s="278" customFormat="1">
      <c r="A247" s="403">
        <v>3</v>
      </c>
      <c r="B247" s="408" t="s">
        <v>637</v>
      </c>
      <c r="C247" s="302">
        <v>3840</v>
      </c>
      <c r="D247" s="1339"/>
      <c r="E247" s="1339"/>
      <c r="F247" s="1339"/>
      <c r="G247" s="1339"/>
    </row>
    <row r="248" spans="1:7" s="278" customFormat="1">
      <c r="A248" s="327">
        <v>4</v>
      </c>
      <c r="B248" s="278" t="s">
        <v>825</v>
      </c>
      <c r="C248" s="302">
        <v>3200</v>
      </c>
      <c r="D248" s="1339"/>
      <c r="E248" s="1339"/>
      <c r="F248" s="1339"/>
      <c r="G248" s="1339"/>
    </row>
    <row r="249" spans="1:7" s="314" customFormat="1">
      <c r="A249" s="483">
        <v>6</v>
      </c>
      <c r="B249" s="473" t="s">
        <v>381</v>
      </c>
      <c r="C249" s="333">
        <v>10000</v>
      </c>
      <c r="D249" s="1339"/>
      <c r="E249" s="1339"/>
      <c r="F249" s="1343"/>
      <c r="G249" s="1343"/>
    </row>
    <row r="250" spans="1:7" s="314" customFormat="1" ht="37.5">
      <c r="A250" s="378"/>
      <c r="B250" s="411" t="s">
        <v>826</v>
      </c>
      <c r="C250" s="412"/>
      <c r="D250" s="1339"/>
      <c r="E250" s="1339"/>
      <c r="F250" s="1349"/>
      <c r="G250" s="1343"/>
    </row>
    <row r="251" spans="1:7" s="278" customFormat="1">
      <c r="A251" s="282">
        <v>1</v>
      </c>
      <c r="B251" s="278" t="s">
        <v>34</v>
      </c>
      <c r="C251" s="302">
        <v>8400</v>
      </c>
      <c r="D251" s="1339"/>
      <c r="E251" s="1339"/>
      <c r="F251" s="1339"/>
      <c r="G251" s="1339"/>
    </row>
    <row r="252" spans="1:7" s="278" customFormat="1">
      <c r="A252" s="282">
        <v>2</v>
      </c>
      <c r="B252" s="337" t="s">
        <v>554</v>
      </c>
      <c r="C252" s="302">
        <v>20000</v>
      </c>
      <c r="D252" s="1339"/>
      <c r="E252" s="1339"/>
      <c r="F252" s="1339"/>
      <c r="G252" s="1339"/>
    </row>
    <row r="253" spans="1:7" s="278" customFormat="1">
      <c r="A253" s="282">
        <v>3</v>
      </c>
      <c r="B253" s="278" t="s">
        <v>14</v>
      </c>
      <c r="C253" s="302">
        <v>5000</v>
      </c>
      <c r="D253" s="1339"/>
      <c r="E253" s="1339"/>
      <c r="F253" s="1339"/>
      <c r="G253" s="1339"/>
    </row>
    <row r="254" spans="1:7" s="349" customFormat="1">
      <c r="A254" s="282">
        <v>4</v>
      </c>
      <c r="B254" s="338" t="s">
        <v>555</v>
      </c>
      <c r="C254" s="302">
        <v>10000</v>
      </c>
      <c r="D254" s="1339"/>
      <c r="E254" s="1339"/>
      <c r="F254" s="1344"/>
      <c r="G254" s="1344"/>
    </row>
    <row r="255" spans="1:7" s="278" customFormat="1">
      <c r="A255" s="282">
        <v>5</v>
      </c>
      <c r="B255" s="338" t="s">
        <v>556</v>
      </c>
      <c r="C255" s="302">
        <v>50000</v>
      </c>
      <c r="D255" s="1339"/>
      <c r="E255" s="1339"/>
      <c r="F255" s="1339"/>
      <c r="G255" s="1339"/>
    </row>
    <row r="256" spans="1:7" s="278" customFormat="1">
      <c r="A256" s="282">
        <v>6</v>
      </c>
      <c r="B256" s="278" t="s">
        <v>818</v>
      </c>
      <c r="C256" s="302">
        <v>1200</v>
      </c>
      <c r="D256" s="1339"/>
      <c r="E256" s="1339"/>
      <c r="F256" s="1339"/>
      <c r="G256" s="1339"/>
    </row>
    <row r="257" spans="1:7" s="278" customFormat="1" ht="18.75" customHeight="1">
      <c r="A257" s="462">
        <v>7</v>
      </c>
      <c r="B257" s="473" t="s">
        <v>819</v>
      </c>
      <c r="C257" s="333">
        <v>2500</v>
      </c>
      <c r="D257" s="1339"/>
      <c r="E257" s="1339"/>
      <c r="F257" s="1339"/>
      <c r="G257" s="1339"/>
    </row>
    <row r="258" spans="1:7" s="314" customFormat="1" ht="42.75" customHeight="1">
      <c r="A258" s="378"/>
      <c r="B258" s="411" t="s">
        <v>827</v>
      </c>
      <c r="C258" s="412"/>
      <c r="D258" s="1339"/>
      <c r="E258" s="1339"/>
      <c r="F258" s="1349"/>
      <c r="G258" s="1343"/>
    </row>
    <row r="259" spans="1:7" s="314" customFormat="1">
      <c r="A259" s="420"/>
      <c r="B259" s="413" t="s">
        <v>828</v>
      </c>
      <c r="C259" s="414">
        <v>5000</v>
      </c>
      <c r="D259" s="1350"/>
      <c r="E259" s="1339"/>
      <c r="F259" s="1339"/>
      <c r="G259" s="1343"/>
    </row>
    <row r="260" spans="1:7" s="314" customFormat="1">
      <c r="A260" s="420"/>
      <c r="B260" s="413" t="s">
        <v>555</v>
      </c>
      <c r="C260" s="414">
        <v>10000</v>
      </c>
      <c r="D260" s="1350"/>
      <c r="E260" s="1339"/>
      <c r="F260" s="1339"/>
      <c r="G260" s="1343"/>
    </row>
    <row r="261" spans="1:7" s="314" customFormat="1">
      <c r="A261" s="420"/>
      <c r="B261" s="413" t="s">
        <v>829</v>
      </c>
      <c r="C261" s="414">
        <v>800</v>
      </c>
      <c r="D261" s="1350"/>
      <c r="E261" s="1339"/>
      <c r="F261" s="1339"/>
      <c r="G261" s="1343"/>
    </row>
    <row r="262" spans="1:7" s="314" customFormat="1">
      <c r="A262" s="420"/>
      <c r="B262" s="413" t="s">
        <v>830</v>
      </c>
      <c r="C262" s="414">
        <v>20000</v>
      </c>
      <c r="D262" s="1350"/>
      <c r="E262" s="1339"/>
      <c r="F262" s="1339"/>
      <c r="G262" s="1343"/>
    </row>
    <row r="263" spans="1:7" s="314" customFormat="1">
      <c r="A263" s="420"/>
      <c r="B263" s="413" t="s">
        <v>831</v>
      </c>
      <c r="C263" s="414">
        <v>10000</v>
      </c>
      <c r="D263" s="1350"/>
      <c r="E263" s="1339"/>
      <c r="F263" s="1339"/>
      <c r="G263" s="1343"/>
    </row>
    <row r="264" spans="1:7" s="314" customFormat="1">
      <c r="A264" s="420"/>
      <c r="B264" s="413" t="s">
        <v>832</v>
      </c>
      <c r="C264" s="414">
        <v>15000</v>
      </c>
      <c r="D264" s="1350"/>
      <c r="E264" s="1339"/>
      <c r="F264" s="1339"/>
      <c r="G264" s="1343"/>
    </row>
    <row r="265" spans="1:7" s="314" customFormat="1">
      <c r="A265" s="420"/>
      <c r="B265" s="413" t="s">
        <v>833</v>
      </c>
      <c r="C265" s="414">
        <v>15000</v>
      </c>
      <c r="D265" s="1350"/>
      <c r="E265" s="1339"/>
      <c r="F265" s="1339"/>
      <c r="G265" s="1343"/>
    </row>
    <row r="266" spans="1:7" s="314" customFormat="1" ht="21">
      <c r="A266" s="385"/>
      <c r="B266" s="391"/>
      <c r="C266" s="392">
        <f>SUM(C219:C265)</f>
        <v>520380</v>
      </c>
      <c r="D266" s="1339"/>
      <c r="E266" s="1339"/>
      <c r="F266" s="1349"/>
      <c r="G266" s="1343"/>
    </row>
    <row r="267" spans="1:7" s="314" customFormat="1" ht="39" customHeight="1">
      <c r="A267" s="378" t="s">
        <v>834</v>
      </c>
      <c r="B267" s="1462" t="s">
        <v>835</v>
      </c>
      <c r="C267" s="1463"/>
      <c r="D267" s="1339"/>
      <c r="E267" s="1339"/>
      <c r="F267" s="1349"/>
      <c r="G267" s="1343"/>
    </row>
    <row r="268" spans="1:7" s="314" customFormat="1" ht="21">
      <c r="A268" s="471"/>
      <c r="B268" s="415" t="s">
        <v>506</v>
      </c>
      <c r="C268" s="394"/>
      <c r="D268" s="1339"/>
      <c r="E268" s="1339"/>
      <c r="F268" s="1349"/>
      <c r="G268" s="1343"/>
    </row>
    <row r="269" spans="1:7" s="314" customFormat="1" ht="21" customHeight="1">
      <c r="A269" s="471"/>
      <c r="B269" s="415" t="s">
        <v>836</v>
      </c>
      <c r="C269" s="394"/>
      <c r="D269" s="1339"/>
      <c r="E269" s="1339"/>
      <c r="F269" s="1349"/>
      <c r="G269" s="1343"/>
    </row>
    <row r="270" spans="1:7" s="314" customFormat="1">
      <c r="A270" s="471"/>
      <c r="B270" s="1477" t="s">
        <v>837</v>
      </c>
      <c r="C270" s="1476"/>
      <c r="D270" s="1339"/>
      <c r="E270" s="1339"/>
      <c r="F270" s="1349"/>
      <c r="G270" s="1343"/>
    </row>
    <row r="271" spans="1:7" s="314" customFormat="1">
      <c r="A271" s="471"/>
      <c r="B271" s="1477" t="s">
        <v>838</v>
      </c>
      <c r="C271" s="1476"/>
      <c r="D271" s="1339"/>
      <c r="E271" s="1339"/>
      <c r="F271" s="1349"/>
      <c r="G271" s="1343"/>
    </row>
    <row r="272" spans="1:7" s="314" customFormat="1" ht="21">
      <c r="A272" s="487"/>
      <c r="B272" s="391" t="s">
        <v>839</v>
      </c>
      <c r="C272" s="488"/>
      <c r="D272" s="1339"/>
      <c r="E272" s="1339"/>
      <c r="F272" s="1349"/>
      <c r="G272" s="1343"/>
    </row>
    <row r="273" spans="1:7" s="314" customFormat="1" ht="42.75" customHeight="1">
      <c r="A273" s="378"/>
      <c r="B273" s="1462" t="s">
        <v>995</v>
      </c>
      <c r="C273" s="1463"/>
      <c r="D273" s="1339"/>
      <c r="E273" s="1339"/>
      <c r="F273" s="1349"/>
      <c r="G273" s="1343"/>
    </row>
    <row r="274" spans="1:7" s="349" customFormat="1">
      <c r="A274" s="447">
        <v>1</v>
      </c>
      <c r="B274" s="489" t="s">
        <v>758</v>
      </c>
      <c r="C274" s="446">
        <v>1920</v>
      </c>
      <c r="D274" s="1344"/>
      <c r="E274" s="1344"/>
      <c r="F274" s="1344"/>
      <c r="G274" s="1344"/>
    </row>
    <row r="275" spans="1:7" s="349" customFormat="1">
      <c r="A275" s="327">
        <v>2</v>
      </c>
      <c r="B275" s="314" t="s">
        <v>782</v>
      </c>
      <c r="C275" s="361">
        <v>1600</v>
      </c>
      <c r="D275" s="1344"/>
      <c r="E275" s="1344"/>
      <c r="F275" s="1344"/>
      <c r="G275" s="1344"/>
    </row>
    <row r="276" spans="1:7" s="278" customFormat="1">
      <c r="A276" s="342">
        <v>3</v>
      </c>
      <c r="B276" s="314" t="s">
        <v>760</v>
      </c>
      <c r="C276" s="361">
        <v>10000</v>
      </c>
      <c r="D276" s="1339"/>
      <c r="E276" s="1339"/>
      <c r="F276" s="1339"/>
      <c r="G276" s="1339"/>
    </row>
    <row r="277" spans="1:7" s="278" customFormat="1">
      <c r="A277" s="327">
        <v>4</v>
      </c>
      <c r="B277" s="347" t="s">
        <v>761</v>
      </c>
      <c r="C277" s="361">
        <v>5000</v>
      </c>
      <c r="D277" s="1339"/>
      <c r="E277" s="1339"/>
      <c r="F277" s="1339"/>
      <c r="G277" s="1339"/>
    </row>
    <row r="278" spans="1:7" s="278" customFormat="1">
      <c r="A278" s="453">
        <v>5</v>
      </c>
      <c r="B278" s="465" t="s">
        <v>783</v>
      </c>
      <c r="C278" s="371">
        <v>20000</v>
      </c>
      <c r="D278" s="1339"/>
      <c r="E278" s="1339"/>
      <c r="F278" s="1339"/>
      <c r="G278" s="1339"/>
    </row>
    <row r="279" spans="1:7" s="314" customFormat="1" ht="21">
      <c r="A279" s="416"/>
      <c r="B279" s="335" t="s">
        <v>840</v>
      </c>
      <c r="C279" s="399"/>
      <c r="D279" s="1343"/>
      <c r="E279" s="1343"/>
      <c r="F279" s="1343"/>
      <c r="G279" s="1343"/>
    </row>
    <row r="280" spans="1:7" s="278" customFormat="1" ht="21.75" customHeight="1">
      <c r="A280" s="475">
        <v>1</v>
      </c>
      <c r="B280" s="476" t="s">
        <v>641</v>
      </c>
      <c r="C280" s="477">
        <v>1200</v>
      </c>
      <c r="D280" s="1339"/>
      <c r="E280" s="1339"/>
      <c r="F280" s="1339"/>
      <c r="G280" s="1339"/>
    </row>
    <row r="281" spans="1:7" s="278" customFormat="1" ht="21.75" customHeight="1">
      <c r="A281" s="282">
        <v>2</v>
      </c>
      <c r="B281" s="278" t="s">
        <v>764</v>
      </c>
      <c r="C281" s="302">
        <v>2400</v>
      </c>
      <c r="D281" s="1339"/>
      <c r="E281" s="1339"/>
      <c r="F281" s="1339"/>
      <c r="G281" s="1339"/>
    </row>
    <row r="282" spans="1:7" s="278" customFormat="1" ht="21.75" customHeight="1">
      <c r="A282" s="282">
        <v>3</v>
      </c>
      <c r="B282" s="278" t="s">
        <v>841</v>
      </c>
      <c r="C282" s="302">
        <v>15000</v>
      </c>
      <c r="D282" s="1339"/>
      <c r="E282" s="1339"/>
      <c r="F282" s="1339"/>
      <c r="G282" s="1339"/>
    </row>
    <row r="283" spans="1:7" s="278" customFormat="1" ht="21.75" customHeight="1">
      <c r="A283" s="282">
        <v>4</v>
      </c>
      <c r="B283" s="310" t="s">
        <v>611</v>
      </c>
      <c r="C283" s="302">
        <v>5000</v>
      </c>
      <c r="D283" s="1339"/>
      <c r="E283" s="1339"/>
      <c r="F283" s="1339"/>
      <c r="G283" s="1339"/>
    </row>
    <row r="284" spans="1:7" s="278" customFormat="1" ht="21.75" customHeight="1">
      <c r="A284" s="462"/>
      <c r="B284" s="473"/>
      <c r="C284" s="490">
        <f>SUM(C274:C283)</f>
        <v>62120</v>
      </c>
      <c r="D284" s="1339"/>
      <c r="E284" s="1339"/>
      <c r="F284" s="1339"/>
      <c r="G284" s="1339"/>
    </row>
    <row r="285" spans="1:7" s="314" customFormat="1" ht="21" customHeight="1">
      <c r="A285" s="378" t="s">
        <v>842</v>
      </c>
      <c r="B285" s="411" t="s">
        <v>843</v>
      </c>
      <c r="C285" s="417"/>
      <c r="D285" s="1339"/>
      <c r="E285" s="1339"/>
      <c r="F285" s="1349"/>
      <c r="G285" s="1343"/>
    </row>
    <row r="286" spans="1:7" s="314" customFormat="1" ht="21">
      <c r="A286" s="418"/>
      <c r="B286" s="367" t="s">
        <v>506</v>
      </c>
      <c r="C286" s="419"/>
      <c r="D286" s="1339"/>
      <c r="E286" s="1339"/>
      <c r="F286" s="1349"/>
      <c r="G286" s="1343"/>
    </row>
    <row r="287" spans="1:7" s="314" customFormat="1">
      <c r="A287" s="420"/>
      <c r="B287" s="1475" t="s">
        <v>844</v>
      </c>
      <c r="C287" s="1476"/>
      <c r="D287" s="1339"/>
      <c r="E287" s="1339"/>
      <c r="F287" s="1349"/>
      <c r="G287" s="1343"/>
    </row>
    <row r="288" spans="1:7" s="314" customFormat="1">
      <c r="A288" s="420"/>
      <c r="B288" s="1475" t="s">
        <v>845</v>
      </c>
      <c r="C288" s="1476"/>
      <c r="D288" s="1339"/>
      <c r="E288" s="1339"/>
      <c r="F288" s="1349"/>
      <c r="G288" s="1343"/>
    </row>
    <row r="289" spans="1:7" s="314" customFormat="1" ht="21">
      <c r="A289" s="420"/>
      <c r="B289" s="415" t="s">
        <v>846</v>
      </c>
      <c r="C289" s="394"/>
      <c r="D289" s="1339"/>
      <c r="E289" s="1339"/>
      <c r="F289" s="1349"/>
      <c r="G289" s="1343"/>
    </row>
    <row r="290" spans="1:7" s="314" customFormat="1" ht="18.75" customHeight="1">
      <c r="A290" s="385"/>
      <c r="B290" s="1468" t="s">
        <v>847</v>
      </c>
      <c r="C290" s="1469"/>
      <c r="D290" s="1339"/>
      <c r="E290" s="1339"/>
      <c r="F290" s="1349"/>
      <c r="G290" s="1343"/>
    </row>
    <row r="291" spans="1:7" s="314" customFormat="1" ht="37.5" customHeight="1">
      <c r="A291" s="378"/>
      <c r="B291" s="1462" t="s">
        <v>848</v>
      </c>
      <c r="C291" s="1463"/>
      <c r="D291" s="1339"/>
      <c r="E291" s="1339"/>
      <c r="F291" s="1349"/>
      <c r="G291" s="1343"/>
    </row>
    <row r="292" spans="1:7" s="278" customFormat="1">
      <c r="A292" s="313">
        <v>1</v>
      </c>
      <c r="B292" s="314" t="s">
        <v>805</v>
      </c>
      <c r="C292" s="315">
        <v>9600</v>
      </c>
      <c r="D292" s="1339"/>
      <c r="E292" s="1339"/>
      <c r="F292" s="1339"/>
      <c r="G292" s="1339"/>
    </row>
    <row r="293" spans="1:7" s="278" customFormat="1">
      <c r="A293" s="313">
        <v>2</v>
      </c>
      <c r="B293" s="314" t="s">
        <v>849</v>
      </c>
      <c r="C293" s="315">
        <v>8000</v>
      </c>
      <c r="D293" s="1339"/>
      <c r="E293" s="1339"/>
      <c r="F293" s="1339"/>
      <c r="G293" s="1339"/>
    </row>
    <row r="294" spans="1:7" s="278" customFormat="1">
      <c r="A294" s="313">
        <v>4</v>
      </c>
      <c r="B294" s="314" t="s">
        <v>625</v>
      </c>
      <c r="C294" s="315">
        <v>25000</v>
      </c>
      <c r="D294" s="1339"/>
      <c r="E294" s="1339"/>
      <c r="F294" s="1339"/>
      <c r="G294" s="1339"/>
    </row>
    <row r="295" spans="1:7" s="314" customFormat="1" ht="27" customHeight="1">
      <c r="A295" s="385"/>
      <c r="B295" s="391"/>
      <c r="C295" s="392">
        <f>SUM(C292:C294)</f>
        <v>42600</v>
      </c>
      <c r="D295" s="1339"/>
      <c r="E295" s="1339"/>
      <c r="F295" s="1349"/>
      <c r="G295" s="1343"/>
    </row>
    <row r="296" spans="1:7" s="278" customFormat="1" ht="21">
      <c r="A296" s="381">
        <v>6.8</v>
      </c>
      <c r="B296" s="421" t="s">
        <v>850</v>
      </c>
      <c r="C296" s="422"/>
      <c r="D296" s="1339"/>
      <c r="E296" s="1339"/>
      <c r="F296" s="1339"/>
      <c r="G296" s="1339"/>
    </row>
    <row r="297" spans="1:7" s="278" customFormat="1" ht="21">
      <c r="A297" s="382"/>
      <c r="B297" s="359" t="s">
        <v>851</v>
      </c>
      <c r="C297" s="423"/>
      <c r="D297" s="1339"/>
      <c r="E297" s="1339"/>
      <c r="F297" s="1339"/>
      <c r="G297" s="1339"/>
    </row>
    <row r="298" spans="1:7" s="278" customFormat="1" ht="18" customHeight="1">
      <c r="A298" s="282">
        <v>2.4</v>
      </c>
      <c r="B298" s="338" t="s">
        <v>852</v>
      </c>
      <c r="C298" s="302">
        <v>12000</v>
      </c>
      <c r="D298" s="1339"/>
      <c r="E298" s="1339"/>
      <c r="F298" s="1339"/>
      <c r="G298" s="1339"/>
    </row>
    <row r="299" spans="1:7" s="278" customFormat="1" ht="18" customHeight="1">
      <c r="A299" s="282">
        <v>2.5</v>
      </c>
      <c r="B299" s="338" t="s">
        <v>853</v>
      </c>
      <c r="C299" s="302">
        <v>60000</v>
      </c>
      <c r="D299" s="1339"/>
      <c r="E299" s="1339"/>
      <c r="F299" s="1339"/>
      <c r="G299" s="1339"/>
    </row>
    <row r="300" spans="1:7" s="278" customFormat="1" ht="18" customHeight="1">
      <c r="A300" s="282">
        <v>2.6</v>
      </c>
      <c r="B300" s="278" t="s">
        <v>726</v>
      </c>
      <c r="C300" s="302">
        <v>3840</v>
      </c>
      <c r="D300" s="1339"/>
      <c r="E300" s="1339"/>
      <c r="F300" s="1339"/>
      <c r="G300" s="1339"/>
    </row>
    <row r="301" spans="1:7" s="278" customFormat="1" ht="18" customHeight="1">
      <c r="A301" s="282">
        <v>2.7</v>
      </c>
      <c r="B301" s="278" t="s">
        <v>727</v>
      </c>
      <c r="C301" s="302">
        <v>6400</v>
      </c>
      <c r="D301" s="1339"/>
      <c r="E301" s="1339"/>
      <c r="F301" s="1339"/>
      <c r="G301" s="1339"/>
    </row>
    <row r="302" spans="1:7" s="278" customFormat="1" ht="18" customHeight="1">
      <c r="A302" s="282">
        <v>2.8</v>
      </c>
      <c r="B302" s="278" t="s">
        <v>854</v>
      </c>
      <c r="C302" s="302">
        <v>20000</v>
      </c>
      <c r="D302" s="1339"/>
      <c r="E302" s="1339"/>
      <c r="F302" s="1339"/>
      <c r="G302" s="1339"/>
    </row>
    <row r="303" spans="1:7" s="278" customFormat="1" ht="18" customHeight="1">
      <c r="A303" s="282">
        <v>2.8</v>
      </c>
      <c r="B303" s="310" t="s">
        <v>518</v>
      </c>
      <c r="C303" s="302">
        <v>20000</v>
      </c>
      <c r="D303" s="1339"/>
      <c r="E303" s="1339"/>
      <c r="F303" s="1339"/>
      <c r="G303" s="1339"/>
    </row>
    <row r="304" spans="1:7" s="278" customFormat="1" ht="18" customHeight="1">
      <c r="A304" s="462"/>
      <c r="B304" s="473"/>
      <c r="C304" s="491">
        <f>SUM(C298:C303)</f>
        <v>122240</v>
      </c>
      <c r="D304" s="1339"/>
      <c r="E304" s="1339"/>
      <c r="F304" s="1339"/>
      <c r="G304" s="1339"/>
    </row>
    <row r="305" spans="1:7" s="278" customFormat="1">
      <c r="A305" s="424">
        <v>6.9</v>
      </c>
      <c r="B305" s="1473" t="s">
        <v>855</v>
      </c>
      <c r="C305" s="1474"/>
      <c r="D305" s="1339"/>
      <c r="E305" s="1339"/>
      <c r="F305" s="1339"/>
      <c r="G305" s="1339"/>
    </row>
    <row r="306" spans="1:7" s="278" customFormat="1">
      <c r="A306" s="282">
        <v>1</v>
      </c>
      <c r="B306" s="278" t="s">
        <v>730</v>
      </c>
      <c r="C306" s="302">
        <v>33600</v>
      </c>
      <c r="D306" s="1339"/>
      <c r="E306" s="1339"/>
      <c r="F306" s="1339"/>
      <c r="G306" s="1339"/>
    </row>
    <row r="307" spans="1:7" s="278" customFormat="1">
      <c r="A307" s="282">
        <v>2</v>
      </c>
      <c r="B307" s="337" t="s">
        <v>856</v>
      </c>
      <c r="C307" s="302">
        <v>24000</v>
      </c>
      <c r="D307" s="1339"/>
      <c r="E307" s="1339"/>
      <c r="F307" s="1339"/>
      <c r="G307" s="1339"/>
    </row>
    <row r="308" spans="1:7" s="278" customFormat="1">
      <c r="A308" s="282">
        <v>3</v>
      </c>
      <c r="B308" s="278" t="s">
        <v>14</v>
      </c>
      <c r="C308" s="302">
        <v>20000</v>
      </c>
      <c r="D308" s="1339"/>
      <c r="E308" s="1339"/>
      <c r="F308" s="1339"/>
      <c r="G308" s="1339"/>
    </row>
    <row r="309" spans="1:7" s="349" customFormat="1">
      <c r="A309" s="282">
        <v>4</v>
      </c>
      <c r="B309" s="338" t="s">
        <v>852</v>
      </c>
      <c r="C309" s="302">
        <v>12000</v>
      </c>
      <c r="D309" s="1339"/>
      <c r="E309" s="1339"/>
      <c r="F309" s="1344"/>
      <c r="G309" s="1344"/>
    </row>
    <row r="310" spans="1:7" s="278" customFormat="1">
      <c r="A310" s="282">
        <v>5</v>
      </c>
      <c r="B310" s="338" t="s">
        <v>853</v>
      </c>
      <c r="C310" s="302">
        <v>60000</v>
      </c>
      <c r="D310" s="1339"/>
      <c r="E310" s="1339"/>
      <c r="F310" s="1339"/>
      <c r="G310" s="1339"/>
    </row>
    <row r="311" spans="1:7" s="278" customFormat="1">
      <c r="A311" s="282">
        <v>6</v>
      </c>
      <c r="B311" s="278" t="s">
        <v>857</v>
      </c>
      <c r="C311" s="302">
        <v>9600</v>
      </c>
      <c r="D311" s="1339"/>
      <c r="E311" s="1339"/>
      <c r="F311" s="1339"/>
      <c r="G311" s="1339"/>
    </row>
    <row r="312" spans="1:7" s="278" customFormat="1">
      <c r="A312" s="282">
        <v>7</v>
      </c>
      <c r="B312" s="278" t="s">
        <v>742</v>
      </c>
      <c r="C312" s="302">
        <v>9600</v>
      </c>
      <c r="D312" s="1339"/>
      <c r="E312" s="1339"/>
      <c r="F312" s="1339"/>
      <c r="G312" s="1339"/>
    </row>
    <row r="313" spans="1:7" s="278" customFormat="1">
      <c r="A313" s="282">
        <v>8</v>
      </c>
      <c r="B313" s="278" t="s">
        <v>854</v>
      </c>
      <c r="C313" s="302">
        <v>20000</v>
      </c>
      <c r="D313" s="1339"/>
      <c r="E313" s="1339"/>
      <c r="F313" s="1339"/>
      <c r="G313" s="1339"/>
    </row>
    <row r="314" spans="1:7" s="278" customFormat="1">
      <c r="A314" s="282">
        <v>9</v>
      </c>
      <c r="B314" s="310" t="s">
        <v>518</v>
      </c>
      <c r="C314" s="302">
        <v>20000</v>
      </c>
      <c r="D314" s="1339"/>
      <c r="E314" s="1339"/>
      <c r="F314" s="1339"/>
      <c r="G314" s="1339"/>
    </row>
    <row r="315" spans="1:7" s="278" customFormat="1" ht="20.25" customHeight="1">
      <c r="A315" s="462"/>
      <c r="B315" s="291"/>
      <c r="C315" s="492">
        <f>SUM(C306:C314)</f>
        <v>208800</v>
      </c>
      <c r="D315" s="1344"/>
      <c r="E315" s="1344"/>
      <c r="F315" s="1339"/>
      <c r="G315" s="1339"/>
    </row>
    <row r="316" spans="1:7" s="278" customFormat="1" ht="20.25" customHeight="1">
      <c r="A316" s="426">
        <v>6.1</v>
      </c>
      <c r="B316" s="427" t="s">
        <v>858</v>
      </c>
      <c r="C316" s="428"/>
      <c r="D316" s="1339"/>
      <c r="E316" s="1339"/>
      <c r="F316" s="1339"/>
      <c r="G316" s="1339"/>
    </row>
    <row r="317" spans="1:7" s="278" customFormat="1" ht="23.25" customHeight="1">
      <c r="A317" s="282">
        <v>1</v>
      </c>
      <c r="B317" s="278" t="s">
        <v>859</v>
      </c>
      <c r="C317" s="302">
        <v>33600</v>
      </c>
      <c r="D317" s="1339"/>
      <c r="E317" s="1339"/>
      <c r="F317" s="1339"/>
      <c r="G317" s="1339"/>
    </row>
    <row r="318" spans="1:7" s="278" customFormat="1" ht="18" customHeight="1">
      <c r="A318" s="282">
        <v>2</v>
      </c>
      <c r="B318" s="337" t="s">
        <v>856</v>
      </c>
      <c r="C318" s="302">
        <v>24000</v>
      </c>
      <c r="D318" s="1339"/>
      <c r="E318" s="1339"/>
      <c r="F318" s="1339"/>
      <c r="G318" s="1339"/>
    </row>
    <row r="319" spans="1:7" s="349" customFormat="1" ht="18" customHeight="1">
      <c r="A319" s="282">
        <v>3</v>
      </c>
      <c r="B319" s="278" t="s">
        <v>14</v>
      </c>
      <c r="C319" s="302">
        <v>20000</v>
      </c>
      <c r="D319" s="1339"/>
      <c r="E319" s="1339"/>
      <c r="F319" s="1344"/>
      <c r="G319" s="1344"/>
    </row>
    <row r="320" spans="1:7" s="278" customFormat="1" ht="18" customHeight="1">
      <c r="A320" s="282">
        <v>4</v>
      </c>
      <c r="B320" s="338" t="s">
        <v>860</v>
      </c>
      <c r="C320" s="302">
        <v>12000</v>
      </c>
      <c r="D320" s="1339"/>
      <c r="E320" s="1339"/>
      <c r="F320" s="1339"/>
      <c r="G320" s="1339"/>
    </row>
    <row r="321" spans="1:7" s="278" customFormat="1">
      <c r="A321" s="282">
        <v>5</v>
      </c>
      <c r="B321" s="338" t="s">
        <v>853</v>
      </c>
      <c r="C321" s="302">
        <v>60000</v>
      </c>
      <c r="D321" s="1339"/>
      <c r="E321" s="1339"/>
      <c r="F321" s="1339"/>
      <c r="G321" s="1339"/>
    </row>
    <row r="322" spans="1:7" s="278" customFormat="1" ht="18" customHeight="1">
      <c r="A322" s="282">
        <v>6</v>
      </c>
      <c r="B322" s="278" t="s">
        <v>861</v>
      </c>
      <c r="C322" s="302">
        <v>9600</v>
      </c>
      <c r="D322" s="1339"/>
      <c r="E322" s="1339"/>
      <c r="F322" s="1339"/>
      <c r="G322" s="1339"/>
    </row>
    <row r="323" spans="1:7" s="278" customFormat="1" ht="18" customHeight="1">
      <c r="A323" s="282">
        <v>7</v>
      </c>
      <c r="B323" s="278" t="s">
        <v>742</v>
      </c>
      <c r="C323" s="302">
        <v>9600</v>
      </c>
      <c r="D323" s="1339"/>
      <c r="E323" s="1339"/>
      <c r="F323" s="1339"/>
      <c r="G323" s="1339"/>
    </row>
    <row r="324" spans="1:7" s="278" customFormat="1" ht="18" customHeight="1">
      <c r="A324" s="282">
        <v>8</v>
      </c>
      <c r="B324" s="278" t="s">
        <v>854</v>
      </c>
      <c r="C324" s="302">
        <v>20000</v>
      </c>
      <c r="D324" s="1339"/>
      <c r="E324" s="1339"/>
      <c r="F324" s="1339"/>
      <c r="G324" s="1339"/>
    </row>
    <row r="325" spans="1:7" s="349" customFormat="1">
      <c r="A325" s="282">
        <v>9</v>
      </c>
      <c r="B325" s="310" t="s">
        <v>413</v>
      </c>
      <c r="C325" s="302">
        <v>20000</v>
      </c>
      <c r="D325" s="1344"/>
      <c r="E325" s="1344"/>
      <c r="F325" s="1344"/>
      <c r="G325" s="1344"/>
    </row>
    <row r="326" spans="1:7" s="278" customFormat="1" ht="21">
      <c r="A326" s="462"/>
      <c r="B326" s="291"/>
      <c r="C326" s="492">
        <f>SUM(C317:C325)</f>
        <v>208800</v>
      </c>
      <c r="D326" s="1339"/>
      <c r="E326" s="1339"/>
      <c r="F326" s="1339"/>
      <c r="G326" s="1339"/>
    </row>
    <row r="327" spans="1:7" s="278" customFormat="1">
      <c r="A327" s="426">
        <v>6.11</v>
      </c>
      <c r="B327" s="427" t="s">
        <v>862</v>
      </c>
      <c r="C327" s="378"/>
      <c r="D327" s="1339"/>
      <c r="E327" s="1339"/>
      <c r="F327" s="1339"/>
      <c r="G327" s="1339"/>
    </row>
    <row r="328" spans="1:7" s="278" customFormat="1" ht="18" customHeight="1">
      <c r="A328" s="282">
        <v>1</v>
      </c>
      <c r="B328" s="429" t="s">
        <v>672</v>
      </c>
      <c r="C328" s="286">
        <v>80000</v>
      </c>
      <c r="D328" s="1339"/>
      <c r="E328" s="1339"/>
      <c r="F328" s="1339"/>
      <c r="G328" s="1339"/>
    </row>
    <row r="329" spans="1:7" s="278" customFormat="1">
      <c r="A329" s="282">
        <v>2</v>
      </c>
      <c r="B329" s="285" t="s">
        <v>863</v>
      </c>
      <c r="C329" s="302">
        <v>40000</v>
      </c>
      <c r="D329" s="1344"/>
      <c r="E329" s="1344"/>
      <c r="F329" s="1339"/>
      <c r="G329" s="1339"/>
    </row>
    <row r="330" spans="1:7" s="278" customFormat="1">
      <c r="A330" s="282">
        <v>3</v>
      </c>
      <c r="B330" s="285" t="s">
        <v>864</v>
      </c>
      <c r="C330" s="302">
        <v>40000</v>
      </c>
      <c r="D330" s="1339"/>
      <c r="E330" s="1339"/>
      <c r="F330" s="1339"/>
      <c r="G330" s="1339"/>
    </row>
    <row r="331" spans="1:7" s="278" customFormat="1" ht="18" customHeight="1">
      <c r="A331" s="282">
        <v>4</v>
      </c>
      <c r="B331" s="283" t="s">
        <v>865</v>
      </c>
      <c r="C331" s="302">
        <v>40000</v>
      </c>
      <c r="D331" s="1339"/>
      <c r="E331" s="1339"/>
      <c r="F331" s="1339"/>
      <c r="G331" s="1339"/>
    </row>
    <row r="332" spans="1:7" s="278" customFormat="1" ht="21.75" customHeight="1">
      <c r="A332" s="282">
        <v>5</v>
      </c>
      <c r="B332" s="283" t="s">
        <v>866</v>
      </c>
      <c r="C332" s="302">
        <v>40000</v>
      </c>
      <c r="D332" s="1339"/>
      <c r="E332" s="1339"/>
      <c r="F332" s="1339"/>
      <c r="G332" s="1339"/>
    </row>
    <row r="333" spans="1:7" s="278" customFormat="1">
      <c r="A333" s="282">
        <v>6</v>
      </c>
      <c r="B333" s="285" t="s">
        <v>867</v>
      </c>
      <c r="C333" s="302">
        <v>40000</v>
      </c>
      <c r="D333" s="1339"/>
      <c r="E333" s="1339"/>
      <c r="F333" s="1339"/>
      <c r="G333" s="1339"/>
    </row>
    <row r="334" spans="1:7" s="278" customFormat="1" ht="18" customHeight="1">
      <c r="A334" s="282">
        <v>7</v>
      </c>
      <c r="B334" s="283" t="s">
        <v>868</v>
      </c>
      <c r="C334" s="302">
        <v>40000</v>
      </c>
      <c r="D334" s="1339"/>
      <c r="E334" s="1339"/>
      <c r="F334" s="1339"/>
      <c r="G334" s="1339"/>
    </row>
    <row r="335" spans="1:7" s="349" customFormat="1" ht="18" customHeight="1">
      <c r="A335" s="282">
        <v>8</v>
      </c>
      <c r="B335" s="285" t="s">
        <v>869</v>
      </c>
      <c r="C335" s="302">
        <v>40000</v>
      </c>
      <c r="D335" s="1339"/>
      <c r="E335" s="1339"/>
      <c r="F335" s="1344"/>
      <c r="G335" s="1344"/>
    </row>
    <row r="336" spans="1:7" s="278" customFormat="1" ht="18" customHeight="1">
      <c r="A336" s="282"/>
      <c r="B336" s="285"/>
      <c r="C336" s="430">
        <f>SUM(C328:C335)</f>
        <v>360000</v>
      </c>
      <c r="D336" s="1339"/>
      <c r="E336" s="1339"/>
      <c r="F336" s="1339"/>
      <c r="G336" s="1339"/>
    </row>
    <row r="337" spans="1:7" s="278" customFormat="1" ht="18" customHeight="1">
      <c r="A337" s="462"/>
      <c r="B337" s="291"/>
      <c r="C337" s="468"/>
      <c r="D337" s="1339"/>
      <c r="E337" s="1339"/>
      <c r="F337" s="1339"/>
      <c r="G337" s="1339"/>
    </row>
    <row r="338" spans="1:7" s="278" customFormat="1" ht="18" customHeight="1">
      <c r="A338" s="426">
        <v>6.12</v>
      </c>
      <c r="B338" s="431" t="s">
        <v>870</v>
      </c>
      <c r="C338" s="428"/>
      <c r="D338" s="1339"/>
      <c r="E338" s="1339"/>
      <c r="F338" s="1339"/>
      <c r="G338" s="1339"/>
    </row>
    <row r="339" spans="1:7" s="278" customFormat="1">
      <c r="A339" s="282">
        <v>1</v>
      </c>
      <c r="B339" s="337" t="s">
        <v>871</v>
      </c>
      <c r="C339" s="302">
        <v>40000</v>
      </c>
      <c r="D339" s="1339"/>
      <c r="E339" s="1339"/>
      <c r="F339" s="1339"/>
      <c r="G339" s="1339"/>
    </row>
    <row r="340" spans="1:7" s="278" customFormat="1">
      <c r="A340" s="282">
        <v>2</v>
      </c>
      <c r="B340" s="278" t="s">
        <v>872</v>
      </c>
      <c r="C340" s="302">
        <v>20000</v>
      </c>
      <c r="D340" s="1339"/>
      <c r="E340" s="1339"/>
      <c r="F340" s="1339"/>
      <c r="G340" s="1339"/>
    </row>
    <row r="341" spans="1:7" s="349" customFormat="1">
      <c r="A341" s="282">
        <v>3</v>
      </c>
      <c r="B341" s="338" t="s">
        <v>873</v>
      </c>
      <c r="C341" s="302">
        <v>40000</v>
      </c>
      <c r="D341" s="1339"/>
      <c r="E341" s="1339"/>
      <c r="F341" s="1344"/>
      <c r="G341" s="1344"/>
    </row>
    <row r="342" spans="1:7" s="278" customFormat="1">
      <c r="A342" s="282">
        <v>4</v>
      </c>
      <c r="B342" s="338" t="s">
        <v>874</v>
      </c>
      <c r="C342" s="302">
        <v>100000</v>
      </c>
      <c r="D342" s="1339"/>
      <c r="E342" s="1339"/>
      <c r="F342" s="1339"/>
      <c r="G342" s="1339"/>
    </row>
    <row r="343" spans="1:7" s="278" customFormat="1">
      <c r="A343" s="282">
        <v>5</v>
      </c>
      <c r="B343" s="278" t="s">
        <v>741</v>
      </c>
      <c r="C343" s="302">
        <v>9600</v>
      </c>
      <c r="D343" s="1339"/>
      <c r="E343" s="1339"/>
      <c r="F343" s="1339"/>
      <c r="G343" s="1339"/>
    </row>
    <row r="344" spans="1:7" s="278" customFormat="1" ht="18.75" customHeight="1">
      <c r="A344" s="282">
        <v>6</v>
      </c>
      <c r="B344" s="310" t="s">
        <v>518</v>
      </c>
      <c r="C344" s="302">
        <v>20000</v>
      </c>
      <c r="D344" s="1339"/>
      <c r="E344" s="1339"/>
      <c r="F344" s="1339"/>
      <c r="G344" s="1339"/>
    </row>
    <row r="345" spans="1:7" s="278" customFormat="1">
      <c r="A345" s="282">
        <v>7</v>
      </c>
      <c r="B345" s="283" t="s">
        <v>875</v>
      </c>
      <c r="C345" s="286">
        <v>125200</v>
      </c>
      <c r="D345" s="1339"/>
      <c r="E345" s="1339"/>
      <c r="F345" s="1339"/>
      <c r="G345" s="1339"/>
    </row>
    <row r="346" spans="1:7" s="278" customFormat="1" ht="21">
      <c r="A346" s="462"/>
      <c r="B346" s="493"/>
      <c r="C346" s="492">
        <f>SUM(C339:C345)</f>
        <v>354800</v>
      </c>
      <c r="D346" s="1339"/>
      <c r="E346" s="1344"/>
      <c r="F346" s="1339"/>
      <c r="G346" s="1339"/>
    </row>
    <row r="347" spans="1:7" s="278" customFormat="1" ht="39" customHeight="1">
      <c r="A347" s="378">
        <v>6.13</v>
      </c>
      <c r="B347" s="335" t="s">
        <v>996</v>
      </c>
      <c r="C347" s="399"/>
      <c r="D347" s="1339"/>
      <c r="E347" s="1339"/>
      <c r="F347" s="1339"/>
      <c r="G347" s="1339"/>
    </row>
    <row r="348" spans="1:7">
      <c r="A348" s="344">
        <v>1</v>
      </c>
      <c r="B348" s="345" t="s">
        <v>515</v>
      </c>
      <c r="C348" s="432">
        <v>7680</v>
      </c>
      <c r="D348" s="1339"/>
      <c r="E348" s="1339"/>
    </row>
    <row r="349" spans="1:7">
      <c r="A349" s="344">
        <v>2</v>
      </c>
      <c r="B349" s="345" t="s">
        <v>876</v>
      </c>
      <c r="C349" s="432">
        <v>11200</v>
      </c>
      <c r="D349" s="1344"/>
      <c r="E349" s="1339"/>
    </row>
    <row r="350" spans="1:7">
      <c r="A350" s="344">
        <v>3</v>
      </c>
      <c r="B350" s="433" t="s">
        <v>877</v>
      </c>
      <c r="C350" s="432">
        <v>20000</v>
      </c>
      <c r="D350" s="1339"/>
      <c r="E350" s="1339"/>
    </row>
    <row r="351" spans="1:7">
      <c r="A351" s="282">
        <v>8</v>
      </c>
      <c r="B351" s="278" t="s">
        <v>728</v>
      </c>
      <c r="C351" s="302">
        <v>20000</v>
      </c>
      <c r="D351" s="1339"/>
      <c r="E351" s="1339"/>
    </row>
    <row r="352" spans="1:7">
      <c r="A352" s="344">
        <v>4</v>
      </c>
      <c r="B352" s="433" t="s">
        <v>878</v>
      </c>
      <c r="C352" s="432">
        <v>40000</v>
      </c>
      <c r="D352" s="1339"/>
      <c r="E352" s="1339"/>
    </row>
    <row r="353" spans="1:4" ht="21">
      <c r="A353" s="494"/>
      <c r="B353" s="495" t="s">
        <v>879</v>
      </c>
      <c r="C353" s="496">
        <f>SUM(C348:C352)</f>
        <v>98880</v>
      </c>
      <c r="D353" s="1339"/>
    </row>
    <row r="354" spans="1:4">
      <c r="A354" s="426">
        <v>6.14</v>
      </c>
      <c r="B354" s="427" t="s">
        <v>880</v>
      </c>
      <c r="C354" s="428"/>
      <c r="D354" s="1339"/>
    </row>
    <row r="355" spans="1:4">
      <c r="A355" s="282">
        <v>1</v>
      </c>
      <c r="B355" s="283" t="s">
        <v>16</v>
      </c>
      <c r="C355" s="432">
        <v>400000</v>
      </c>
      <c r="D355" s="1339"/>
    </row>
    <row r="356" spans="1:4">
      <c r="A356" s="282">
        <v>2</v>
      </c>
      <c r="B356" s="283" t="s">
        <v>17</v>
      </c>
      <c r="C356" s="432">
        <v>20000</v>
      </c>
      <c r="D356" s="1339"/>
    </row>
    <row r="357" spans="1:4">
      <c r="A357" s="282">
        <v>3</v>
      </c>
      <c r="B357" s="283" t="s">
        <v>30</v>
      </c>
      <c r="C357" s="432">
        <v>12000</v>
      </c>
      <c r="D357" s="1339"/>
    </row>
    <row r="358" spans="1:4">
      <c r="A358" s="282">
        <v>4</v>
      </c>
      <c r="B358" s="283" t="s">
        <v>881</v>
      </c>
      <c r="C358" s="432">
        <v>1200</v>
      </c>
    </row>
    <row r="359" spans="1:4">
      <c r="A359" s="282">
        <v>5</v>
      </c>
      <c r="B359" s="283" t="s">
        <v>882</v>
      </c>
      <c r="C359" s="432">
        <v>10000</v>
      </c>
    </row>
    <row r="360" spans="1:4" ht="21">
      <c r="A360" s="462"/>
      <c r="B360" s="493"/>
      <c r="C360" s="492">
        <f>SUM(C355:C359)</f>
        <v>443200</v>
      </c>
    </row>
    <row r="361" spans="1:4">
      <c r="A361" s="426">
        <v>6.15</v>
      </c>
      <c r="B361" s="427" t="s">
        <v>18</v>
      </c>
      <c r="C361" s="428"/>
    </row>
    <row r="362" spans="1:4">
      <c r="A362" s="282"/>
      <c r="B362" s="283" t="s">
        <v>19</v>
      </c>
      <c r="C362" s="457">
        <v>5000</v>
      </c>
    </row>
    <row r="363" spans="1:4">
      <c r="A363" s="282"/>
      <c r="B363" s="283" t="s">
        <v>20</v>
      </c>
      <c r="C363" s="432">
        <v>8000</v>
      </c>
    </row>
    <row r="364" spans="1:4">
      <c r="A364" s="282"/>
      <c r="B364" s="283" t="s">
        <v>21</v>
      </c>
      <c r="C364" s="432">
        <v>8000</v>
      </c>
    </row>
    <row r="365" spans="1:4">
      <c r="A365" s="282"/>
      <c r="B365" s="285" t="s">
        <v>22</v>
      </c>
      <c r="C365" s="432">
        <v>8000</v>
      </c>
    </row>
    <row r="366" spans="1:4">
      <c r="A366" s="327"/>
      <c r="B366" s="436" t="s">
        <v>23</v>
      </c>
      <c r="C366" s="282"/>
    </row>
    <row r="367" spans="1:4">
      <c r="A367" s="365"/>
      <c r="B367" s="283" t="s">
        <v>24</v>
      </c>
      <c r="C367" s="432">
        <v>8000</v>
      </c>
    </row>
    <row r="368" spans="1:4">
      <c r="A368" s="327"/>
      <c r="B368" s="283" t="s">
        <v>25</v>
      </c>
      <c r="C368" s="432">
        <v>160000</v>
      </c>
    </row>
    <row r="369" spans="1:3">
      <c r="A369" s="327"/>
      <c r="B369" s="283" t="s">
        <v>26</v>
      </c>
      <c r="C369" s="432">
        <v>160000</v>
      </c>
    </row>
    <row r="370" spans="1:3" ht="21">
      <c r="A370" s="483"/>
      <c r="B370" s="497"/>
      <c r="C370" s="458">
        <f>SUM(C362:C369)</f>
        <v>357000</v>
      </c>
    </row>
    <row r="371" spans="1:3" ht="19.5" customHeight="1">
      <c r="A371" s="1419" t="s">
        <v>4</v>
      </c>
      <c r="B371" s="1420"/>
      <c r="C371" s="438">
        <f>C18+C31+C39+C76+C82+C93+C117+C140+C162+C186+C208+C266+C284+C295+C304+C315+C326+C336+C346+C353+C360+C370</f>
        <v>7500000</v>
      </c>
    </row>
    <row r="372" spans="1:3" ht="18.75" customHeight="1">
      <c r="A372" s="1421" t="s">
        <v>883</v>
      </c>
      <c r="B372" s="1422"/>
      <c r="C372" s="442"/>
    </row>
    <row r="373" spans="1:3">
      <c r="A373" s="440"/>
      <c r="B373" s="441"/>
      <c r="C373" s="442"/>
    </row>
  </sheetData>
  <mergeCells count="36">
    <mergeCell ref="B167:C167"/>
    <mergeCell ref="B212:C212"/>
    <mergeCell ref="A1:C1"/>
    <mergeCell ref="A3:C3"/>
    <mergeCell ref="A20:B20"/>
    <mergeCell ref="B187:C187"/>
    <mergeCell ref="B189:C189"/>
    <mergeCell ref="B33:B34"/>
    <mergeCell ref="B95:C95"/>
    <mergeCell ref="B118:C118"/>
    <mergeCell ref="B169:C169"/>
    <mergeCell ref="B141:C141"/>
    <mergeCell ref="B144:C144"/>
    <mergeCell ref="B163:C163"/>
    <mergeCell ref="B190:C190"/>
    <mergeCell ref="B191:C191"/>
    <mergeCell ref="B192:C192"/>
    <mergeCell ref="B209:C209"/>
    <mergeCell ref="B211:C211"/>
    <mergeCell ref="B288:C288"/>
    <mergeCell ref="B213:C213"/>
    <mergeCell ref="B214:C214"/>
    <mergeCell ref="B215:C215"/>
    <mergeCell ref="B216:C216"/>
    <mergeCell ref="B217:C217"/>
    <mergeCell ref="B218:C218"/>
    <mergeCell ref="B267:C267"/>
    <mergeCell ref="B270:C270"/>
    <mergeCell ref="B271:C271"/>
    <mergeCell ref="B273:C273"/>
    <mergeCell ref="B287:C287"/>
    <mergeCell ref="B290:C290"/>
    <mergeCell ref="B291:C291"/>
    <mergeCell ref="B305:C305"/>
    <mergeCell ref="A371:B371"/>
    <mergeCell ref="A372:B372"/>
  </mergeCells>
  <pageMargins left="0.7" right="0.7" top="0.75" bottom="0.75" header="0.3" footer="0.3"/>
  <pageSetup paperSize="9" orientation="portrait" r:id="rId1"/>
  <rowBreaks count="9" manualBreakCount="9">
    <brk id="34" max="2" man="1"/>
    <brk id="72" max="2" man="1"/>
    <brk id="106" max="2" man="1"/>
    <brk id="140" max="2" man="1"/>
    <brk id="168" max="2" man="1"/>
    <brk id="198" max="2" man="1"/>
    <brk id="231" max="2" man="1"/>
    <brk id="266" max="2" man="1"/>
    <brk id="337" max="2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26"/>
  <sheetViews>
    <sheetView workbookViewId="0">
      <selection sqref="A1:C1"/>
    </sheetView>
  </sheetViews>
  <sheetFormatPr defaultColWidth="9" defaultRowHeight="18.75"/>
  <cols>
    <col min="1" max="1" width="5.375" style="207" customWidth="1"/>
    <col min="2" max="2" width="69" style="94" customWidth="1"/>
    <col min="3" max="3" width="17" style="208" bestFit="1" customWidth="1"/>
    <col min="4" max="5" width="9" style="94"/>
    <col min="6" max="6" width="10" style="94" bestFit="1" customWidth="1"/>
    <col min="7" max="16384" width="9" style="94"/>
  </cols>
  <sheetData>
    <row r="1" spans="1:5">
      <c r="A1" s="1365" t="s">
        <v>1025</v>
      </c>
      <c r="B1" s="1365"/>
      <c r="C1" s="1365"/>
    </row>
    <row r="2" spans="1:5" ht="19.5" thickBot="1">
      <c r="A2" s="147"/>
      <c r="B2" s="147"/>
      <c r="C2" s="148"/>
    </row>
    <row r="3" spans="1:5" s="96" customFormat="1" ht="25.5" customHeight="1">
      <c r="A3" s="95"/>
      <c r="B3" s="149" t="s">
        <v>884</v>
      </c>
      <c r="C3" s="150" t="s">
        <v>1</v>
      </c>
    </row>
    <row r="4" spans="1:5" ht="24.75" customHeight="1" thickBot="1">
      <c r="A4" s="151"/>
      <c r="B4" s="152" t="s">
        <v>885</v>
      </c>
      <c r="C4" s="153" t="s">
        <v>2</v>
      </c>
    </row>
    <row r="5" spans="1:5" ht="29.25" customHeight="1" thickBot="1">
      <c r="A5" s="246">
        <v>1</v>
      </c>
      <c r="B5" s="247" t="s">
        <v>6</v>
      </c>
      <c r="C5" s="248"/>
      <c r="D5" s="97"/>
    </row>
    <row r="6" spans="1:5" s="106" customFormat="1" ht="23.25" customHeight="1" thickBot="1">
      <c r="A6" s="249">
        <v>1.1000000000000001</v>
      </c>
      <c r="B6" s="250" t="str">
        <f>'[3]4.2 ขึ้นทะเบียน '!B1</f>
        <v>บุคลากร</v>
      </c>
      <c r="C6" s="251">
        <f>SUM(C7:C11)</f>
        <v>1205000</v>
      </c>
    </row>
    <row r="7" spans="1:5" s="11" customFormat="1">
      <c r="A7" s="154"/>
      <c r="B7" s="155" t="s">
        <v>886</v>
      </c>
      <c r="C7" s="156">
        <f>90000*1</f>
        <v>90000</v>
      </c>
    </row>
    <row r="8" spans="1:5" s="11" customFormat="1" ht="37.5">
      <c r="A8" s="157"/>
      <c r="B8" s="158" t="s">
        <v>887</v>
      </c>
      <c r="C8" s="159">
        <f>75000*2</f>
        <v>150000</v>
      </c>
    </row>
    <row r="9" spans="1:5" s="11" customFormat="1">
      <c r="A9" s="157"/>
      <c r="B9" s="160" t="s">
        <v>888</v>
      </c>
      <c r="C9" s="159">
        <f>50000*2*2</f>
        <v>200000</v>
      </c>
    </row>
    <row r="10" spans="1:5" s="11" customFormat="1">
      <c r="A10" s="157"/>
      <c r="B10" s="160" t="s">
        <v>889</v>
      </c>
      <c r="C10" s="159">
        <f>2*35000*9</f>
        <v>630000</v>
      </c>
    </row>
    <row r="11" spans="1:5" s="11" customFormat="1" ht="19.5" thickBot="1">
      <c r="A11" s="154"/>
      <c r="B11" s="155" t="s">
        <v>890</v>
      </c>
      <c r="C11" s="161">
        <f>15000*9</f>
        <v>135000</v>
      </c>
    </row>
    <row r="12" spans="1:5" s="162" customFormat="1" ht="37.5" customHeight="1" thickBot="1">
      <c r="A12" s="252">
        <v>1.2</v>
      </c>
      <c r="B12" s="253" t="s">
        <v>891</v>
      </c>
      <c r="C12" s="254">
        <f>SUM(C13:C15)</f>
        <v>84000</v>
      </c>
    </row>
    <row r="13" spans="1:5" s="11" customFormat="1">
      <c r="A13" s="163"/>
      <c r="B13" s="164" t="s">
        <v>892</v>
      </c>
      <c r="C13" s="165">
        <v>40000</v>
      </c>
    </row>
    <row r="14" spans="1:5" s="11" customFormat="1">
      <c r="A14" s="157"/>
      <c r="B14" s="160" t="s">
        <v>893</v>
      </c>
      <c r="C14" s="166">
        <v>40000</v>
      </c>
    </row>
    <row r="15" spans="1:5" s="11" customFormat="1" ht="19.5" thickBot="1">
      <c r="A15" s="167"/>
      <c r="B15" s="168" t="s">
        <v>894</v>
      </c>
      <c r="C15" s="169">
        <f>10*400</f>
        <v>4000</v>
      </c>
    </row>
    <row r="16" spans="1:5" s="106" customFormat="1" ht="23.25" customHeight="1" thickBot="1">
      <c r="A16" s="249">
        <v>1.3</v>
      </c>
      <c r="B16" s="250" t="s">
        <v>1970</v>
      </c>
      <c r="C16" s="255">
        <f>SUM(C17:C19)</f>
        <v>25000</v>
      </c>
      <c r="E16" s="170"/>
    </row>
    <row r="17" spans="1:3" s="11" customFormat="1">
      <c r="A17" s="163"/>
      <c r="B17" s="164" t="s">
        <v>494</v>
      </c>
      <c r="C17" s="165"/>
    </row>
    <row r="18" spans="1:3" s="11" customFormat="1">
      <c r="A18" s="157"/>
      <c r="B18" s="160" t="s">
        <v>895</v>
      </c>
      <c r="C18" s="166">
        <v>20000</v>
      </c>
    </row>
    <row r="19" spans="1:3" s="11" customFormat="1" ht="19.5" thickBot="1">
      <c r="A19" s="154"/>
      <c r="B19" s="155" t="s">
        <v>896</v>
      </c>
      <c r="C19" s="171">
        <v>5000</v>
      </c>
    </row>
    <row r="20" spans="1:3" s="11" customFormat="1" ht="19.5" thickBot="1">
      <c r="A20" s="256">
        <v>1.4</v>
      </c>
      <c r="B20" s="257" t="s">
        <v>1971</v>
      </c>
      <c r="C20" s="258">
        <f>SUM(C21:C22)</f>
        <v>25000</v>
      </c>
    </row>
    <row r="21" spans="1:3" s="11" customFormat="1">
      <c r="A21" s="154"/>
      <c r="B21" s="155" t="s">
        <v>896</v>
      </c>
      <c r="C21" s="171">
        <v>5000</v>
      </c>
    </row>
    <row r="22" spans="1:3" s="11" customFormat="1" ht="19.5" thickBot="1">
      <c r="A22" s="172"/>
      <c r="B22" s="173" t="s">
        <v>897</v>
      </c>
      <c r="C22" s="174">
        <v>20000</v>
      </c>
    </row>
    <row r="23" spans="1:3" s="175" customFormat="1" ht="75" customHeight="1" thickBot="1">
      <c r="A23" s="239">
        <v>1.5</v>
      </c>
      <c r="B23" s="259" t="s">
        <v>1972</v>
      </c>
      <c r="C23" s="258">
        <f>SUM(C24:C37)</f>
        <v>723220</v>
      </c>
    </row>
    <row r="24" spans="1:3" s="11" customFormat="1" ht="56.25">
      <c r="A24" s="260" t="s">
        <v>898</v>
      </c>
      <c r="B24" s="261" t="s">
        <v>899</v>
      </c>
      <c r="C24" s="176"/>
    </row>
    <row r="25" spans="1:3" s="11" customFormat="1">
      <c r="A25" s="157"/>
      <c r="B25" s="160" t="s">
        <v>900</v>
      </c>
      <c r="C25" s="159">
        <v>50000</v>
      </c>
    </row>
    <row r="26" spans="1:3" s="11" customFormat="1">
      <c r="A26" s="157"/>
      <c r="B26" s="160" t="s">
        <v>901</v>
      </c>
      <c r="C26" s="159">
        <f>1200*7*20</f>
        <v>168000</v>
      </c>
    </row>
    <row r="27" spans="1:3" s="11" customFormat="1">
      <c r="A27" s="157"/>
      <c r="B27" s="177" t="s">
        <v>902</v>
      </c>
      <c r="C27" s="159">
        <f>200*500</f>
        <v>100000</v>
      </c>
    </row>
    <row r="28" spans="1:3" s="11" customFormat="1">
      <c r="A28" s="157"/>
      <c r="B28" s="177" t="s">
        <v>903</v>
      </c>
      <c r="C28" s="159">
        <f>200*50*2</f>
        <v>20000</v>
      </c>
    </row>
    <row r="29" spans="1:3" s="11" customFormat="1">
      <c r="A29" s="157"/>
      <c r="B29" s="177" t="s">
        <v>904</v>
      </c>
      <c r="C29" s="159">
        <f>180*100</f>
        <v>18000</v>
      </c>
    </row>
    <row r="30" spans="1:3" s="11" customFormat="1">
      <c r="A30" s="157"/>
      <c r="B30" s="177" t="s">
        <v>905</v>
      </c>
      <c r="C30" s="159">
        <v>3210</v>
      </c>
    </row>
    <row r="31" spans="1:3" s="11" customFormat="1" ht="56.25">
      <c r="A31" s="129" t="s">
        <v>906</v>
      </c>
      <c r="B31" s="262" t="s">
        <v>907</v>
      </c>
      <c r="C31" s="166"/>
    </row>
    <row r="32" spans="1:3" s="11" customFormat="1">
      <c r="A32" s="157"/>
      <c r="B32" s="160" t="s">
        <v>900</v>
      </c>
      <c r="C32" s="159">
        <v>80000</v>
      </c>
    </row>
    <row r="33" spans="1:3" s="11" customFormat="1">
      <c r="A33" s="157"/>
      <c r="B33" s="178" t="s">
        <v>908</v>
      </c>
      <c r="C33" s="159">
        <f>1200*7*6*2</f>
        <v>100800</v>
      </c>
    </row>
    <row r="34" spans="1:3" s="11" customFormat="1">
      <c r="A34" s="157"/>
      <c r="B34" s="179" t="s">
        <v>909</v>
      </c>
      <c r="C34" s="159">
        <f>140*2*500</f>
        <v>140000</v>
      </c>
    </row>
    <row r="35" spans="1:3" s="11" customFormat="1">
      <c r="A35" s="157"/>
      <c r="B35" s="179" t="s">
        <v>910</v>
      </c>
      <c r="C35" s="159">
        <f>140*2*50*2</f>
        <v>28000</v>
      </c>
    </row>
    <row r="36" spans="1:3" s="11" customFormat="1">
      <c r="A36" s="163"/>
      <c r="B36" s="180" t="s">
        <v>911</v>
      </c>
      <c r="C36" s="156">
        <f>120*100</f>
        <v>12000</v>
      </c>
    </row>
    <row r="37" spans="1:3" s="11" customFormat="1" ht="19.5" thickBot="1">
      <c r="A37" s="163"/>
      <c r="B37" s="181" t="s">
        <v>905</v>
      </c>
      <c r="C37" s="182">
        <v>3210</v>
      </c>
    </row>
    <row r="38" spans="1:3" s="11" customFormat="1" ht="38.25" thickBot="1">
      <c r="A38" s="239">
        <v>1.6</v>
      </c>
      <c r="B38" s="259" t="s">
        <v>1973</v>
      </c>
      <c r="C38" s="258">
        <f>SUM(C39:C52)</f>
        <v>3963200</v>
      </c>
    </row>
    <row r="39" spans="1:3" s="184" customFormat="1" ht="56.25">
      <c r="A39" s="263" t="s">
        <v>912</v>
      </c>
      <c r="B39" s="264" t="s">
        <v>913</v>
      </c>
      <c r="C39" s="183"/>
    </row>
    <row r="40" spans="1:3" s="11" customFormat="1">
      <c r="A40" s="157"/>
      <c r="B40" s="160" t="s">
        <v>900</v>
      </c>
      <c r="C40" s="159">
        <v>50000</v>
      </c>
    </row>
    <row r="41" spans="1:3" s="11" customFormat="1">
      <c r="A41" s="157"/>
      <c r="B41" s="160" t="s">
        <v>901</v>
      </c>
      <c r="C41" s="159">
        <f>1200*7*20</f>
        <v>168000</v>
      </c>
    </row>
    <row r="42" spans="1:3" s="11" customFormat="1">
      <c r="A42" s="157"/>
      <c r="B42" s="177" t="s">
        <v>902</v>
      </c>
      <c r="C42" s="159">
        <f>200*500</f>
        <v>100000</v>
      </c>
    </row>
    <row r="43" spans="1:3" s="11" customFormat="1">
      <c r="A43" s="157"/>
      <c r="B43" s="177" t="s">
        <v>903</v>
      </c>
      <c r="C43" s="159">
        <f>200*50*2</f>
        <v>20000</v>
      </c>
    </row>
    <row r="44" spans="1:3" s="11" customFormat="1">
      <c r="A44" s="157"/>
      <c r="B44" s="177" t="s">
        <v>904</v>
      </c>
      <c r="C44" s="159">
        <f>180*100</f>
        <v>18000</v>
      </c>
    </row>
    <row r="45" spans="1:3" s="11" customFormat="1" ht="56.25">
      <c r="A45" s="129" t="s">
        <v>914</v>
      </c>
      <c r="B45" s="262" t="s">
        <v>915</v>
      </c>
      <c r="C45" s="165"/>
    </row>
    <row r="46" spans="1:3" s="11" customFormat="1">
      <c r="A46" s="157"/>
      <c r="B46" s="177" t="s">
        <v>916</v>
      </c>
      <c r="C46" s="159">
        <f>60*3*200</f>
        <v>36000</v>
      </c>
    </row>
    <row r="47" spans="1:3" s="11" customFormat="1">
      <c r="A47" s="157"/>
      <c r="B47" s="177" t="s">
        <v>917</v>
      </c>
      <c r="C47" s="159">
        <f>2500*60*3</f>
        <v>450000</v>
      </c>
    </row>
    <row r="48" spans="1:3" s="11" customFormat="1">
      <c r="A48" s="157"/>
      <c r="B48" s="177" t="s">
        <v>918</v>
      </c>
      <c r="C48" s="159">
        <f>240*60*3</f>
        <v>43200</v>
      </c>
    </row>
    <row r="49" spans="1:3" s="11" customFormat="1">
      <c r="A49" s="157"/>
      <c r="B49" s="177" t="s">
        <v>919</v>
      </c>
      <c r="C49" s="159">
        <f>2500*22*6</f>
        <v>330000</v>
      </c>
    </row>
    <row r="50" spans="1:3" s="11" customFormat="1">
      <c r="A50" s="157"/>
      <c r="B50" s="177" t="s">
        <v>920</v>
      </c>
      <c r="C50" s="159">
        <f>1200*60*3</f>
        <v>216000</v>
      </c>
    </row>
    <row r="51" spans="1:3" s="11" customFormat="1">
      <c r="A51" s="157"/>
      <c r="B51" s="177" t="s">
        <v>921</v>
      </c>
      <c r="C51" s="159">
        <f>100*60*2</f>
        <v>12000</v>
      </c>
    </row>
    <row r="52" spans="1:3" s="11" customFormat="1" ht="21" customHeight="1" thickBot="1">
      <c r="A52" s="167"/>
      <c r="B52" s="185" t="s">
        <v>922</v>
      </c>
      <c r="C52" s="159">
        <f>20*8400*15</f>
        <v>2520000</v>
      </c>
    </row>
    <row r="53" spans="1:3" s="11" customFormat="1" ht="36" customHeight="1" thickBot="1">
      <c r="A53" s="239">
        <v>1.7</v>
      </c>
      <c r="B53" s="259" t="s">
        <v>1974</v>
      </c>
      <c r="C53" s="258">
        <f>SUM(C54:C68)</f>
        <v>3315480</v>
      </c>
    </row>
    <row r="54" spans="1:3" s="11" customFormat="1" ht="56.25">
      <c r="A54" s="263" t="s">
        <v>923</v>
      </c>
      <c r="B54" s="265" t="s">
        <v>924</v>
      </c>
      <c r="C54" s="186"/>
    </row>
    <row r="55" spans="1:3" s="11" customFormat="1">
      <c r="A55" s="157"/>
      <c r="B55" s="177" t="s">
        <v>925</v>
      </c>
      <c r="C55" s="159">
        <f>90*1*200</f>
        <v>18000</v>
      </c>
    </row>
    <row r="56" spans="1:3" s="11" customFormat="1">
      <c r="A56" s="157"/>
      <c r="B56" s="177" t="s">
        <v>926</v>
      </c>
      <c r="C56" s="159">
        <f>2500*90*1</f>
        <v>225000</v>
      </c>
    </row>
    <row r="57" spans="1:3" s="11" customFormat="1">
      <c r="A57" s="157"/>
      <c r="B57" s="177" t="s">
        <v>927</v>
      </c>
      <c r="C57" s="159">
        <f>240*22*6</f>
        <v>31680</v>
      </c>
    </row>
    <row r="58" spans="1:3" s="11" customFormat="1">
      <c r="A58" s="157"/>
      <c r="B58" s="177" t="s">
        <v>919</v>
      </c>
      <c r="C58" s="159">
        <f>2500*22*6</f>
        <v>330000</v>
      </c>
    </row>
    <row r="59" spans="1:3" s="11" customFormat="1">
      <c r="A59" s="157"/>
      <c r="B59" s="177" t="s">
        <v>928</v>
      </c>
      <c r="C59" s="159">
        <f>1200*90*3</f>
        <v>324000</v>
      </c>
    </row>
    <row r="60" spans="1:3" s="11" customFormat="1">
      <c r="A60" s="157"/>
      <c r="B60" s="177" t="s">
        <v>929</v>
      </c>
      <c r="C60" s="159">
        <f>100*90*2</f>
        <v>18000</v>
      </c>
    </row>
    <row r="61" spans="1:3" s="11" customFormat="1" ht="55.5" customHeight="1">
      <c r="A61" s="129" t="s">
        <v>930</v>
      </c>
      <c r="B61" s="266" t="s">
        <v>931</v>
      </c>
      <c r="C61" s="267"/>
    </row>
    <row r="62" spans="1:3" s="11" customFormat="1">
      <c r="A62" s="107"/>
      <c r="B62" s="177" t="s">
        <v>932</v>
      </c>
      <c r="C62" s="159">
        <f>60*2*200</f>
        <v>24000</v>
      </c>
    </row>
    <row r="63" spans="1:3" s="11" customFormat="1">
      <c r="A63" s="107"/>
      <c r="B63" s="177" t="s">
        <v>933</v>
      </c>
      <c r="C63" s="159">
        <f>2500*60*2</f>
        <v>300000</v>
      </c>
    </row>
    <row r="64" spans="1:3" s="11" customFormat="1">
      <c r="A64" s="107"/>
      <c r="B64" s="177" t="s">
        <v>934</v>
      </c>
      <c r="C64" s="159">
        <f>240*60*2</f>
        <v>28800</v>
      </c>
    </row>
    <row r="65" spans="1:3" s="11" customFormat="1">
      <c r="A65" s="107"/>
      <c r="B65" s="177" t="s">
        <v>935</v>
      </c>
      <c r="C65" s="159">
        <f>2500*15*4</f>
        <v>150000</v>
      </c>
    </row>
    <row r="66" spans="1:3" s="11" customFormat="1">
      <c r="A66" s="107"/>
      <c r="B66" s="177" t="s">
        <v>936</v>
      </c>
      <c r="C66" s="159">
        <f>1200*60*3</f>
        <v>216000</v>
      </c>
    </row>
    <row r="67" spans="1:3" s="11" customFormat="1">
      <c r="A67" s="187"/>
      <c r="B67" s="188" t="s">
        <v>937</v>
      </c>
      <c r="C67" s="159">
        <f>15*8400*13</f>
        <v>1638000</v>
      </c>
    </row>
    <row r="68" spans="1:3" s="11" customFormat="1" ht="19.5" thickBot="1">
      <c r="A68" s="187"/>
      <c r="B68" s="188" t="s">
        <v>921</v>
      </c>
      <c r="C68" s="182">
        <f>100*60*2</f>
        <v>12000</v>
      </c>
    </row>
    <row r="69" spans="1:3" s="11" customFormat="1" ht="59.25" customHeight="1" thickBot="1">
      <c r="A69" s="239">
        <v>8</v>
      </c>
      <c r="B69" s="268" t="s">
        <v>1975</v>
      </c>
      <c r="C69" s="269">
        <f>SUM(C70:C73)</f>
        <v>16100</v>
      </c>
    </row>
    <row r="70" spans="1:3" s="11" customFormat="1">
      <c r="A70" s="154"/>
      <c r="B70" s="189" t="s">
        <v>938</v>
      </c>
      <c r="C70" s="156">
        <v>5000</v>
      </c>
    </row>
    <row r="71" spans="1:3" s="11" customFormat="1">
      <c r="A71" s="157"/>
      <c r="B71" s="177" t="s">
        <v>939</v>
      </c>
      <c r="C71" s="159">
        <v>3000</v>
      </c>
    </row>
    <row r="72" spans="1:3" s="11" customFormat="1">
      <c r="A72" s="157"/>
      <c r="B72" s="177" t="s">
        <v>940</v>
      </c>
      <c r="C72" s="159">
        <v>6000</v>
      </c>
    </row>
    <row r="73" spans="1:3" s="11" customFormat="1" ht="19.5" thickBot="1">
      <c r="A73" s="154"/>
      <c r="B73" s="189" t="s">
        <v>941</v>
      </c>
      <c r="C73" s="156">
        <v>2100</v>
      </c>
    </row>
    <row r="74" spans="1:3" s="11" customFormat="1" ht="54.75" customHeight="1" thickBot="1">
      <c r="A74" s="239">
        <v>9</v>
      </c>
      <c r="B74" s="270" t="s">
        <v>1976</v>
      </c>
      <c r="C74" s="269">
        <f>SUM(C75,C76,C77,C78)</f>
        <v>16100</v>
      </c>
    </row>
    <row r="75" spans="1:3" s="11" customFormat="1">
      <c r="A75" s="154"/>
      <c r="B75" s="189" t="s">
        <v>938</v>
      </c>
      <c r="C75" s="190">
        <v>5000</v>
      </c>
    </row>
    <row r="76" spans="1:3" s="11" customFormat="1">
      <c r="A76" s="157"/>
      <c r="B76" s="177" t="s">
        <v>939</v>
      </c>
      <c r="C76" s="159">
        <v>3000</v>
      </c>
    </row>
    <row r="77" spans="1:3" s="11" customFormat="1">
      <c r="A77" s="157"/>
      <c r="B77" s="177" t="s">
        <v>940</v>
      </c>
      <c r="C77" s="159">
        <v>6000</v>
      </c>
    </row>
    <row r="78" spans="1:3" s="11" customFormat="1" ht="19.5" thickBot="1">
      <c r="A78" s="154"/>
      <c r="B78" s="189" t="s">
        <v>941</v>
      </c>
      <c r="C78" s="161">
        <v>2100</v>
      </c>
    </row>
    <row r="79" spans="1:3" s="11" customFormat="1" ht="57" thickBot="1">
      <c r="A79" s="239">
        <v>10</v>
      </c>
      <c r="B79" s="271" t="s">
        <v>1977</v>
      </c>
      <c r="C79" s="269">
        <f>SUM(C80:C83)</f>
        <v>144900</v>
      </c>
    </row>
    <row r="80" spans="1:3" s="11" customFormat="1">
      <c r="A80" s="154"/>
      <c r="B80" s="189" t="s">
        <v>942</v>
      </c>
      <c r="C80" s="156">
        <f>5000*9</f>
        <v>45000</v>
      </c>
    </row>
    <row r="81" spans="1:3" s="11" customFormat="1">
      <c r="A81" s="157"/>
      <c r="B81" s="177" t="s">
        <v>939</v>
      </c>
      <c r="C81" s="159">
        <f>100*30*9</f>
        <v>27000</v>
      </c>
    </row>
    <row r="82" spans="1:3" s="11" customFormat="1">
      <c r="A82" s="157"/>
      <c r="B82" s="177" t="s">
        <v>940</v>
      </c>
      <c r="C82" s="159">
        <f>200*30*9</f>
        <v>54000</v>
      </c>
    </row>
    <row r="83" spans="1:3" s="11" customFormat="1" ht="19.5" thickBot="1">
      <c r="A83" s="154"/>
      <c r="B83" s="189" t="s">
        <v>941</v>
      </c>
      <c r="C83" s="161">
        <f>70*30*9</f>
        <v>18900</v>
      </c>
    </row>
    <row r="84" spans="1:3" s="191" customFormat="1" ht="38.25" thickBot="1">
      <c r="A84" s="239">
        <v>11</v>
      </c>
      <c r="B84" s="271" t="s">
        <v>1978</v>
      </c>
      <c r="C84" s="269">
        <v>30000</v>
      </c>
    </row>
    <row r="85" spans="1:3" s="11" customFormat="1" ht="19.5" thickBot="1">
      <c r="A85" s="154"/>
      <c r="B85" s="189" t="s">
        <v>943</v>
      </c>
      <c r="C85" s="156">
        <v>30000</v>
      </c>
    </row>
    <row r="86" spans="1:3" s="191" customFormat="1" ht="37.5">
      <c r="A86" s="726">
        <v>12</v>
      </c>
      <c r="B86" s="727" t="s">
        <v>1979</v>
      </c>
      <c r="C86" s="728">
        <f>C87</f>
        <v>5000</v>
      </c>
    </row>
    <row r="87" spans="1:3" s="11" customFormat="1">
      <c r="A87" s="732"/>
      <c r="B87" s="733" t="s">
        <v>944</v>
      </c>
      <c r="C87" s="734">
        <v>5000</v>
      </c>
    </row>
    <row r="88" spans="1:3" s="192" customFormat="1" ht="57" thickBot="1">
      <c r="A88" s="729">
        <v>13</v>
      </c>
      <c r="B88" s="730" t="s">
        <v>1980</v>
      </c>
      <c r="C88" s="731">
        <f>SUM(C89:C94)</f>
        <v>400000</v>
      </c>
    </row>
    <row r="89" spans="1:3" s="11" customFormat="1">
      <c r="A89" s="193"/>
      <c r="B89" s="194" t="s">
        <v>900</v>
      </c>
      <c r="C89" s="190">
        <v>150000</v>
      </c>
    </row>
    <row r="90" spans="1:3" s="11" customFormat="1">
      <c r="A90" s="157"/>
      <c r="B90" s="177" t="s">
        <v>945</v>
      </c>
      <c r="C90" s="159">
        <v>30000</v>
      </c>
    </row>
    <row r="91" spans="1:3" s="11" customFormat="1">
      <c r="A91" s="157"/>
      <c r="B91" s="177" t="s">
        <v>946</v>
      </c>
      <c r="C91" s="159">
        <f>600*50</f>
        <v>30000</v>
      </c>
    </row>
    <row r="92" spans="1:3" s="11" customFormat="1">
      <c r="A92" s="167"/>
      <c r="B92" s="177" t="s">
        <v>947</v>
      </c>
      <c r="C92" s="159">
        <f>2500*10</f>
        <v>25000</v>
      </c>
    </row>
    <row r="93" spans="1:3" s="11" customFormat="1">
      <c r="A93" s="157"/>
      <c r="B93" s="189" t="s">
        <v>948</v>
      </c>
      <c r="C93" s="159">
        <f>1000*150</f>
        <v>150000</v>
      </c>
    </row>
    <row r="94" spans="1:3" s="11" customFormat="1" ht="19.5" thickBot="1">
      <c r="A94" s="163"/>
      <c r="B94" s="177" t="s">
        <v>949</v>
      </c>
      <c r="C94" s="159">
        <f>100*150</f>
        <v>15000</v>
      </c>
    </row>
    <row r="95" spans="1:3" s="175" customFormat="1" ht="19.5" thickBot="1">
      <c r="A95" s="239">
        <v>14</v>
      </c>
      <c r="B95" s="272" t="s">
        <v>950</v>
      </c>
      <c r="C95" s="273">
        <f>SUM(C96:C103)</f>
        <v>47000</v>
      </c>
    </row>
    <row r="96" spans="1:3" s="11" customFormat="1">
      <c r="A96" s="163"/>
      <c r="B96" s="194" t="s">
        <v>951</v>
      </c>
      <c r="C96" s="195">
        <v>5000</v>
      </c>
    </row>
    <row r="97" spans="1:6" s="11" customFormat="1">
      <c r="A97" s="157"/>
      <c r="B97" s="177" t="s">
        <v>952</v>
      </c>
      <c r="C97" s="159">
        <v>8000</v>
      </c>
    </row>
    <row r="98" spans="1:6" s="11" customFormat="1">
      <c r="A98" s="157"/>
      <c r="B98" s="177" t="s">
        <v>953</v>
      </c>
      <c r="C98" s="159">
        <v>8000</v>
      </c>
    </row>
    <row r="99" spans="1:6" s="11" customFormat="1">
      <c r="A99" s="157"/>
      <c r="B99" s="177" t="s">
        <v>954</v>
      </c>
      <c r="C99" s="159">
        <v>8000</v>
      </c>
    </row>
    <row r="100" spans="1:6" s="11" customFormat="1">
      <c r="A100" s="157"/>
      <c r="B100" s="196" t="s">
        <v>23</v>
      </c>
      <c r="C100" s="159"/>
    </row>
    <row r="101" spans="1:6" s="11" customFormat="1">
      <c r="A101" s="157"/>
      <c r="B101" s="177" t="s">
        <v>955</v>
      </c>
      <c r="C101" s="159">
        <v>8000</v>
      </c>
    </row>
    <row r="102" spans="1:6" s="11" customFormat="1">
      <c r="A102" s="157"/>
      <c r="B102" s="177" t="s">
        <v>956</v>
      </c>
      <c r="C102" s="159">
        <v>5000</v>
      </c>
    </row>
    <row r="103" spans="1:6" s="11" customFormat="1" ht="19.5" thickBot="1">
      <c r="A103" s="167"/>
      <c r="B103" s="188" t="s">
        <v>957</v>
      </c>
      <c r="C103" s="197">
        <v>5000</v>
      </c>
    </row>
    <row r="104" spans="1:6" s="11" customFormat="1">
      <c r="A104" s="198"/>
      <c r="B104" s="131" t="s">
        <v>4</v>
      </c>
      <c r="C104" s="199">
        <f>C6+C12+C16+C20+C23+C38+C53+C69+C74+C79+C84+C86+C88+C95</f>
        <v>10000000</v>
      </c>
      <c r="F104" s="200"/>
    </row>
    <row r="105" spans="1:6" s="11" customFormat="1" ht="19.5" thickBot="1">
      <c r="A105" s="201"/>
      <c r="B105" s="202" t="str">
        <f>BAHTTEXT(C104)</f>
        <v>สิบล้านบาทถ้วน</v>
      </c>
      <c r="C105" s="203"/>
    </row>
    <row r="106" spans="1:6">
      <c r="A106" s="96"/>
      <c r="B106" s="204"/>
      <c r="C106" s="205"/>
    </row>
    <row r="107" spans="1:6">
      <c r="A107" s="96"/>
      <c r="C107" s="206"/>
    </row>
    <row r="108" spans="1:6">
      <c r="A108" s="96"/>
      <c r="C108" s="206"/>
    </row>
    <row r="109" spans="1:6">
      <c r="A109" s="96"/>
      <c r="C109" s="206"/>
    </row>
    <row r="110" spans="1:6">
      <c r="A110" s="96"/>
      <c r="C110" s="206"/>
    </row>
    <row r="111" spans="1:6">
      <c r="A111" s="96"/>
      <c r="C111" s="206"/>
    </row>
    <row r="112" spans="1:6">
      <c r="A112" s="96"/>
      <c r="C112" s="206"/>
    </row>
    <row r="113" spans="1:3">
      <c r="A113" s="96"/>
      <c r="C113" s="206"/>
    </row>
    <row r="114" spans="1:3">
      <c r="A114" s="96"/>
      <c r="C114" s="206"/>
    </row>
    <row r="115" spans="1:3">
      <c r="A115" s="96"/>
      <c r="C115" s="206"/>
    </row>
    <row r="116" spans="1:3">
      <c r="A116" s="96"/>
      <c r="C116" s="206"/>
    </row>
    <row r="117" spans="1:3">
      <c r="A117" s="96"/>
      <c r="C117" s="206"/>
    </row>
    <row r="118" spans="1:3">
      <c r="A118" s="96"/>
      <c r="C118" s="206"/>
    </row>
    <row r="119" spans="1:3">
      <c r="A119" s="96"/>
      <c r="C119" s="206"/>
    </row>
    <row r="120" spans="1:3">
      <c r="A120" s="96"/>
      <c r="C120" s="206"/>
    </row>
    <row r="121" spans="1:3">
      <c r="A121" s="96"/>
      <c r="C121" s="206"/>
    </row>
    <row r="122" spans="1:3">
      <c r="A122" s="96"/>
      <c r="C122" s="206"/>
    </row>
    <row r="123" spans="1:3">
      <c r="A123" s="96"/>
      <c r="C123" s="206"/>
    </row>
    <row r="124" spans="1:3">
      <c r="A124" s="96"/>
      <c r="C124" s="206"/>
    </row>
    <row r="125" spans="1:3">
      <c r="A125" s="96"/>
      <c r="C125" s="206"/>
    </row>
    <row r="126" spans="1:3">
      <c r="A126" s="96"/>
      <c r="C126" s="206"/>
    </row>
  </sheetData>
  <mergeCells count="1">
    <mergeCell ref="A1:C1"/>
  </mergeCells>
  <pageMargins left="0.7" right="0.2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44"/>
  <sheetViews>
    <sheetView workbookViewId="0">
      <selection sqref="A1:C1"/>
    </sheetView>
  </sheetViews>
  <sheetFormatPr defaultColWidth="9" defaultRowHeight="20.25"/>
  <cols>
    <col min="1" max="1" width="5.5" style="684" customWidth="1"/>
    <col min="2" max="2" width="66.875" style="684" customWidth="1"/>
    <col min="3" max="3" width="18.5" style="684" customWidth="1"/>
    <col min="4" max="4" width="9.375" style="684" bestFit="1" customWidth="1"/>
    <col min="5" max="16384" width="9" style="684"/>
  </cols>
  <sheetData>
    <row r="1" spans="1:5" ht="27.75" customHeight="1" thickBot="1">
      <c r="A1" s="1488" t="s">
        <v>1023</v>
      </c>
      <c r="B1" s="1488"/>
      <c r="C1" s="1488"/>
    </row>
    <row r="2" spans="1:5" ht="62.25" customHeight="1" thickBot="1">
      <c r="A2" s="685"/>
      <c r="B2" s="686" t="s">
        <v>993</v>
      </c>
      <c r="C2" s="687" t="s">
        <v>958</v>
      </c>
    </row>
    <row r="3" spans="1:5" ht="27.75" customHeight="1" thickBot="1">
      <c r="A3" s="209" t="s">
        <v>959</v>
      </c>
      <c r="B3" s="688" t="s">
        <v>87</v>
      </c>
      <c r="C3" s="689">
        <f>SUM(C4:C11)</f>
        <v>3600000</v>
      </c>
    </row>
    <row r="4" spans="1:5">
      <c r="A4" s="690"/>
      <c r="B4" s="691" t="s">
        <v>1022</v>
      </c>
      <c r="C4" s="692">
        <v>540000</v>
      </c>
    </row>
    <row r="5" spans="1:5" ht="37.5">
      <c r="A5" s="693"/>
      <c r="B5" s="694" t="s">
        <v>960</v>
      </c>
      <c r="C5" s="695">
        <v>450000</v>
      </c>
    </row>
    <row r="6" spans="1:5" ht="37.5">
      <c r="A6" s="693"/>
      <c r="B6" s="694" t="s">
        <v>961</v>
      </c>
      <c r="C6" s="695">
        <v>450000</v>
      </c>
    </row>
    <row r="7" spans="1:5" ht="37.5">
      <c r="A7" s="693"/>
      <c r="B7" s="694" t="s">
        <v>962</v>
      </c>
      <c r="C7" s="695">
        <v>450000</v>
      </c>
    </row>
    <row r="8" spans="1:5" ht="37.5">
      <c r="A8" s="693"/>
      <c r="B8" s="694" t="s">
        <v>963</v>
      </c>
      <c r="C8" s="695">
        <v>450000</v>
      </c>
    </row>
    <row r="9" spans="1:5">
      <c r="A9" s="693"/>
      <c r="B9" s="694" t="s">
        <v>964</v>
      </c>
      <c r="C9" s="695">
        <v>180000</v>
      </c>
    </row>
    <row r="10" spans="1:5">
      <c r="A10" s="693"/>
      <c r="B10" s="694" t="s">
        <v>965</v>
      </c>
      <c r="C10" s="695">
        <v>540000</v>
      </c>
    </row>
    <row r="11" spans="1:5" ht="57" thickBot="1">
      <c r="A11" s="696"/>
      <c r="B11" s="697" t="s">
        <v>966</v>
      </c>
      <c r="C11" s="698">
        <v>540000</v>
      </c>
    </row>
    <row r="12" spans="1:5" ht="26.25" customHeight="1" thickBot="1">
      <c r="A12" s="210" t="s">
        <v>967</v>
      </c>
      <c r="B12" s="699" t="s">
        <v>968</v>
      </c>
      <c r="C12" s="700">
        <f>C13+C14+C20+C21+C22+C23</f>
        <v>641500</v>
      </c>
    </row>
    <row r="13" spans="1:5" ht="37.5">
      <c r="A13" s="690"/>
      <c r="B13" s="701" t="s">
        <v>969</v>
      </c>
      <c r="C13" s="702">
        <v>300000</v>
      </c>
    </row>
    <row r="14" spans="1:5">
      <c r="A14" s="693"/>
      <c r="B14" s="213" t="s">
        <v>970</v>
      </c>
      <c r="C14" s="211">
        <v>67000</v>
      </c>
      <c r="D14" s="703"/>
      <c r="E14" s="703"/>
    </row>
    <row r="15" spans="1:5">
      <c r="A15" s="693"/>
      <c r="B15" s="213" t="s">
        <v>971</v>
      </c>
      <c r="C15" s="212">
        <v>3000</v>
      </c>
      <c r="D15" s="703"/>
    </row>
    <row r="16" spans="1:5">
      <c r="A16" s="693"/>
      <c r="B16" s="213" t="s">
        <v>1019</v>
      </c>
      <c r="C16" s="212">
        <v>4000</v>
      </c>
      <c r="D16" s="703"/>
    </row>
    <row r="17" spans="1:5">
      <c r="A17" s="693"/>
      <c r="B17" s="213" t="s">
        <v>1020</v>
      </c>
      <c r="C17" s="212">
        <v>5000</v>
      </c>
      <c r="D17" s="703"/>
    </row>
    <row r="18" spans="1:5">
      <c r="A18" s="693"/>
      <c r="B18" s="213" t="s">
        <v>1021</v>
      </c>
      <c r="C18" s="212">
        <v>25000</v>
      </c>
      <c r="D18" s="703"/>
    </row>
    <row r="19" spans="1:5">
      <c r="A19" s="693"/>
      <c r="B19" s="213" t="s">
        <v>972</v>
      </c>
      <c r="C19" s="212">
        <v>30000</v>
      </c>
      <c r="D19" s="703"/>
    </row>
    <row r="20" spans="1:5">
      <c r="A20" s="693"/>
      <c r="B20" s="213" t="s">
        <v>973</v>
      </c>
      <c r="C20" s="211">
        <v>90000</v>
      </c>
      <c r="D20" s="703"/>
      <c r="E20" s="703"/>
    </row>
    <row r="21" spans="1:5">
      <c r="A21" s="693"/>
      <c r="B21" s="213" t="s">
        <v>974</v>
      </c>
      <c r="C21" s="211">
        <v>90000</v>
      </c>
    </row>
    <row r="22" spans="1:5">
      <c r="A22" s="693"/>
      <c r="B22" s="213" t="s">
        <v>975</v>
      </c>
      <c r="C22" s="211">
        <v>4500</v>
      </c>
    </row>
    <row r="23" spans="1:5" ht="21" thickBot="1">
      <c r="A23" s="704"/>
      <c r="B23" s="705" t="s">
        <v>976</v>
      </c>
      <c r="C23" s="214">
        <v>90000</v>
      </c>
    </row>
    <row r="24" spans="1:5" ht="25.5" customHeight="1" thickBot="1">
      <c r="A24" s="210" t="s">
        <v>977</v>
      </c>
      <c r="B24" s="699" t="s">
        <v>978</v>
      </c>
      <c r="C24" s="700">
        <f>C25+C26+C30+C31+C36+C37</f>
        <v>3942000</v>
      </c>
    </row>
    <row r="25" spans="1:5" ht="37.5">
      <c r="A25" s="690"/>
      <c r="B25" s="706" t="s">
        <v>1981</v>
      </c>
      <c r="C25" s="215">
        <v>500000</v>
      </c>
    </row>
    <row r="26" spans="1:5" ht="37.5">
      <c r="A26" s="693"/>
      <c r="B26" s="694" t="s">
        <v>1982</v>
      </c>
      <c r="C26" s="216">
        <v>751000</v>
      </c>
      <c r="D26" s="707"/>
    </row>
    <row r="27" spans="1:5">
      <c r="A27" s="693"/>
      <c r="B27" s="213" t="s">
        <v>979</v>
      </c>
      <c r="C27" s="212">
        <v>280000</v>
      </c>
      <c r="D27" s="703"/>
    </row>
    <row r="28" spans="1:5">
      <c r="A28" s="693"/>
      <c r="B28" s="213" t="s">
        <v>980</v>
      </c>
      <c r="C28" s="212">
        <v>375000</v>
      </c>
    </row>
    <row r="29" spans="1:5">
      <c r="A29" s="693"/>
      <c r="B29" s="213" t="s">
        <v>981</v>
      </c>
      <c r="C29" s="212">
        <v>96000</v>
      </c>
    </row>
    <row r="30" spans="1:5" ht="56.25">
      <c r="A30" s="693"/>
      <c r="B30" s="694" t="s">
        <v>1983</v>
      </c>
      <c r="C30" s="216">
        <v>1000000</v>
      </c>
    </row>
    <row r="31" spans="1:5" ht="56.25">
      <c r="A31" s="693"/>
      <c r="B31" s="217" t="s">
        <v>1984</v>
      </c>
      <c r="C31" s="216">
        <v>67000</v>
      </c>
      <c r="D31" s="703"/>
      <c r="E31" s="703"/>
    </row>
    <row r="32" spans="1:5">
      <c r="A32" s="693"/>
      <c r="B32" s="213" t="s">
        <v>982</v>
      </c>
      <c r="C32" s="212">
        <v>40000</v>
      </c>
      <c r="E32" s="703"/>
    </row>
    <row r="33" spans="1:5">
      <c r="A33" s="693"/>
      <c r="B33" s="708" t="s">
        <v>983</v>
      </c>
      <c r="C33" s="212">
        <v>10000</v>
      </c>
      <c r="D33" s="703"/>
      <c r="E33" s="703"/>
    </row>
    <row r="34" spans="1:5">
      <c r="A34" s="693"/>
      <c r="B34" s="213" t="s">
        <v>984</v>
      </c>
      <c r="C34" s="212">
        <v>10000</v>
      </c>
      <c r="D34" s="703"/>
    </row>
    <row r="35" spans="1:5">
      <c r="A35" s="693"/>
      <c r="B35" s="213" t="s">
        <v>985</v>
      </c>
      <c r="C35" s="212">
        <v>7000</v>
      </c>
      <c r="D35" s="703"/>
    </row>
    <row r="36" spans="1:5">
      <c r="A36" s="693"/>
      <c r="B36" s="217" t="s">
        <v>1985</v>
      </c>
      <c r="C36" s="709">
        <v>1500000</v>
      </c>
      <c r="D36" s="703"/>
      <c r="E36" s="703"/>
    </row>
    <row r="37" spans="1:5">
      <c r="A37" s="693"/>
      <c r="B37" s="217" t="s">
        <v>1986</v>
      </c>
      <c r="C37" s="211">
        <v>124000</v>
      </c>
      <c r="D37" s="703"/>
      <c r="E37" s="703"/>
    </row>
    <row r="38" spans="1:5">
      <c r="A38" s="693"/>
      <c r="B38" s="213" t="s">
        <v>986</v>
      </c>
      <c r="C38" s="212">
        <v>80000</v>
      </c>
      <c r="E38" s="703"/>
    </row>
    <row r="39" spans="1:5">
      <c r="A39" s="693"/>
      <c r="B39" s="213" t="s">
        <v>987</v>
      </c>
      <c r="C39" s="212">
        <v>20000</v>
      </c>
      <c r="E39" s="703"/>
    </row>
    <row r="40" spans="1:5">
      <c r="A40" s="693"/>
      <c r="B40" s="213" t="s">
        <v>988</v>
      </c>
      <c r="C40" s="212">
        <v>10000</v>
      </c>
      <c r="E40" s="703"/>
    </row>
    <row r="41" spans="1:5" ht="21" thickBot="1">
      <c r="A41" s="704"/>
      <c r="B41" s="710" t="s">
        <v>989</v>
      </c>
      <c r="C41" s="218">
        <v>14000</v>
      </c>
      <c r="E41" s="703"/>
    </row>
    <row r="42" spans="1:5">
      <c r="A42" s="711"/>
      <c r="B42" s="712"/>
      <c r="C42" s="713"/>
    </row>
    <row r="43" spans="1:5">
      <c r="A43" s="714"/>
      <c r="B43" s="715" t="s">
        <v>990</v>
      </c>
      <c r="C43" s="716">
        <f>C3+C12+C24</f>
        <v>8183500</v>
      </c>
    </row>
    <row r="44" spans="1:5" ht="21" thickBot="1">
      <c r="A44" s="717"/>
      <c r="B44" s="718" t="str">
        <f>BAHTTEXT(C43)</f>
        <v>แปดล้านหนึ่งแสนแปดหมื่นสามพันห้าร้อยบาทถ้วน</v>
      </c>
      <c r="C44" s="719"/>
    </row>
  </sheetData>
  <mergeCells count="1">
    <mergeCell ref="A1:C1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78"/>
  <sheetViews>
    <sheetView workbookViewId="0">
      <selection sqref="A1:C1"/>
    </sheetView>
  </sheetViews>
  <sheetFormatPr defaultColWidth="9" defaultRowHeight="18.75"/>
  <cols>
    <col min="1" max="1" width="5.375" style="836" customWidth="1"/>
    <col min="2" max="2" width="85" style="94" customWidth="1"/>
    <col min="3" max="3" width="15.25" style="140" bestFit="1" customWidth="1"/>
    <col min="4" max="16384" width="9" style="94"/>
  </cols>
  <sheetData>
    <row r="1" spans="1:4" ht="21">
      <c r="A1" s="1367" t="s">
        <v>1105</v>
      </c>
      <c r="B1" s="1367"/>
      <c r="C1" s="1367"/>
    </row>
    <row r="2" spans="1:4" ht="21">
      <c r="A2" s="1368" t="s">
        <v>1178</v>
      </c>
      <c r="B2" s="1368"/>
      <c r="C2" s="1368"/>
    </row>
    <row r="3" spans="1:4" ht="21.75" thickBot="1">
      <c r="A3" s="867"/>
      <c r="B3" s="867"/>
      <c r="C3" s="868"/>
    </row>
    <row r="4" spans="1:4" s="836" customFormat="1" ht="21">
      <c r="A4" s="878"/>
      <c r="B4" s="878" t="s">
        <v>0</v>
      </c>
      <c r="C4" s="879" t="s">
        <v>1</v>
      </c>
    </row>
    <row r="5" spans="1:4" ht="21.75" thickBot="1">
      <c r="A5" s="880"/>
      <c r="B5" s="881"/>
      <c r="C5" s="882" t="s">
        <v>2</v>
      </c>
    </row>
    <row r="6" spans="1:4" ht="21.75" thickBot="1">
      <c r="A6" s="883">
        <v>1</v>
      </c>
      <c r="B6" s="884" t="s">
        <v>1179</v>
      </c>
      <c r="C6" s="885">
        <f>C7+C15+C20+C23+C24+C31+C38+C46+C53+C61+C65+C73</f>
        <v>25000000</v>
      </c>
      <c r="D6" s="97"/>
    </row>
    <row r="7" spans="1:4" s="101" customFormat="1" ht="21">
      <c r="A7" s="886">
        <v>1.1000000000000001</v>
      </c>
      <c r="B7" s="887" t="str">
        <f>'[1]4.2 ขึ้นทะเบียน '!B1</f>
        <v>บุคลากร</v>
      </c>
      <c r="C7" s="888">
        <f>C8+C9+C10+C12+C11+C13</f>
        <v>10890000</v>
      </c>
    </row>
    <row r="8" spans="1:4" s="105" customFormat="1" ht="21">
      <c r="A8" s="889"/>
      <c r="B8" s="890" t="s">
        <v>1733</v>
      </c>
      <c r="C8" s="891">
        <f>1*90000*5</f>
        <v>450000</v>
      </c>
    </row>
    <row r="9" spans="1:4" s="105" customFormat="1" ht="21">
      <c r="A9" s="889"/>
      <c r="B9" s="890" t="s">
        <v>1734</v>
      </c>
      <c r="C9" s="891">
        <f>6*70000*5</f>
        <v>2100000</v>
      </c>
    </row>
    <row r="10" spans="1:4" s="105" customFormat="1" ht="21">
      <c r="A10" s="889"/>
      <c r="B10" s="890" t="s">
        <v>1735</v>
      </c>
      <c r="C10" s="891">
        <f>4*45000*3</f>
        <v>540000</v>
      </c>
    </row>
    <row r="11" spans="1:4" s="105" customFormat="1" ht="21">
      <c r="A11" s="889"/>
      <c r="B11" s="890" t="s">
        <v>1736</v>
      </c>
      <c r="C11" s="891">
        <f>20*28000*3</f>
        <v>1680000</v>
      </c>
    </row>
    <row r="12" spans="1:4" s="105" customFormat="1" ht="21">
      <c r="A12" s="889"/>
      <c r="B12" s="890" t="s">
        <v>1743</v>
      </c>
      <c r="C12" s="891">
        <f>45*16000*8</f>
        <v>5760000</v>
      </c>
    </row>
    <row r="13" spans="1:4" s="101" customFormat="1" ht="21">
      <c r="A13" s="892"/>
      <c r="B13" s="893" t="s">
        <v>1744</v>
      </c>
      <c r="C13" s="891">
        <f>2*20000*9</f>
        <v>360000</v>
      </c>
    </row>
    <row r="14" spans="1:4" s="101" customFormat="1" ht="21">
      <c r="A14" s="894" t="s">
        <v>98</v>
      </c>
      <c r="B14" s="895"/>
      <c r="C14" s="104"/>
    </row>
    <row r="15" spans="1:4" s="101" customFormat="1" ht="21">
      <c r="A15" s="892">
        <v>1.2</v>
      </c>
      <c r="B15" s="1162" t="s">
        <v>1745</v>
      </c>
      <c r="C15" s="1164">
        <f>C16+C17+C18+C19</f>
        <v>207500</v>
      </c>
    </row>
    <row r="16" spans="1:4" s="105" customFormat="1" ht="21">
      <c r="A16" s="889"/>
      <c r="B16" s="178" t="s">
        <v>1180</v>
      </c>
      <c r="C16" s="891">
        <f>10*8000</f>
        <v>80000</v>
      </c>
    </row>
    <row r="17" spans="1:5" s="105" customFormat="1" ht="21">
      <c r="A17" s="889"/>
      <c r="B17" s="178" t="s">
        <v>1181</v>
      </c>
      <c r="C17" s="891">
        <f>3500*5</f>
        <v>17500</v>
      </c>
    </row>
    <row r="18" spans="1:5" s="105" customFormat="1" ht="21">
      <c r="A18" s="889"/>
      <c r="B18" s="178" t="s">
        <v>1182</v>
      </c>
      <c r="C18" s="891">
        <f>4000*20</f>
        <v>80000</v>
      </c>
    </row>
    <row r="19" spans="1:5" s="105" customFormat="1" ht="21">
      <c r="A19" s="889"/>
      <c r="B19" s="178" t="s">
        <v>1183</v>
      </c>
      <c r="C19" s="891">
        <f>30000</f>
        <v>30000</v>
      </c>
    </row>
    <row r="20" spans="1:5" s="101" customFormat="1" ht="25.5" customHeight="1">
      <c r="A20" s="892">
        <v>1.3</v>
      </c>
      <c r="B20" s="1163" t="s">
        <v>1747</v>
      </c>
      <c r="C20" s="1164">
        <f>C21+C22</f>
        <v>405000</v>
      </c>
      <c r="E20" s="114"/>
    </row>
    <row r="21" spans="1:5" s="101" customFormat="1" ht="23.25" customHeight="1">
      <c r="A21" s="892"/>
      <c r="B21" s="112" t="s">
        <v>1184</v>
      </c>
      <c r="C21" s="897">
        <v>30000</v>
      </c>
      <c r="E21" s="114"/>
    </row>
    <row r="22" spans="1:5" s="101" customFormat="1" ht="23.25" customHeight="1">
      <c r="A22" s="892"/>
      <c r="B22" s="112" t="s">
        <v>1746</v>
      </c>
      <c r="C22" s="897">
        <f>75*5000</f>
        <v>375000</v>
      </c>
      <c r="E22" s="114"/>
    </row>
    <row r="23" spans="1:5" s="101" customFormat="1" ht="23.25" customHeight="1">
      <c r="A23" s="892">
        <v>1.4</v>
      </c>
      <c r="B23" s="1163" t="s">
        <v>1901</v>
      </c>
      <c r="C23" s="1164">
        <f>300000</f>
        <v>300000</v>
      </c>
      <c r="E23" s="114"/>
    </row>
    <row r="24" spans="1:5" s="101" customFormat="1" ht="22.9" customHeight="1">
      <c r="A24" s="892">
        <v>1.5</v>
      </c>
      <c r="B24" s="1163" t="s">
        <v>1185</v>
      </c>
      <c r="C24" s="1164">
        <f>C25+C26+C27+C28+C29+C30</f>
        <v>1458000</v>
      </c>
      <c r="E24" s="114"/>
    </row>
    <row r="25" spans="1:5" s="101" customFormat="1" ht="22.9" customHeight="1">
      <c r="A25" s="892"/>
      <c r="B25" s="112" t="s">
        <v>1186</v>
      </c>
      <c r="C25" s="897">
        <f>600*300*6</f>
        <v>1080000</v>
      </c>
      <c r="E25" s="114"/>
    </row>
    <row r="26" spans="1:5" s="101" customFormat="1" ht="22.9" customHeight="1">
      <c r="A26" s="892"/>
      <c r="B26" s="112" t="s">
        <v>1187</v>
      </c>
      <c r="C26" s="897">
        <f>50*300*2*6</f>
        <v>180000</v>
      </c>
      <c r="E26" s="114"/>
    </row>
    <row r="27" spans="1:5" s="101" customFormat="1" ht="22.9" customHeight="1">
      <c r="A27" s="892"/>
      <c r="B27" s="112" t="s">
        <v>1188</v>
      </c>
      <c r="C27" s="897">
        <f>600*5</f>
        <v>3000</v>
      </c>
      <c r="E27" s="114"/>
    </row>
    <row r="28" spans="1:5" s="101" customFormat="1" ht="22.9" customHeight="1">
      <c r="A28" s="892"/>
      <c r="B28" s="112" t="s">
        <v>1189</v>
      </c>
      <c r="C28" s="897">
        <f>4000*6</f>
        <v>24000</v>
      </c>
      <c r="E28" s="114"/>
    </row>
    <row r="29" spans="1:5" s="101" customFormat="1" ht="22.9" customHeight="1">
      <c r="A29" s="892"/>
      <c r="B29" s="112" t="s">
        <v>1190</v>
      </c>
      <c r="C29" s="897">
        <f>80*1800</f>
        <v>144000</v>
      </c>
      <c r="E29" s="114"/>
    </row>
    <row r="30" spans="1:5" s="101" customFormat="1" ht="22.9" customHeight="1">
      <c r="A30" s="892"/>
      <c r="B30" s="112" t="s">
        <v>1191</v>
      </c>
      <c r="C30" s="897">
        <f>2250*12</f>
        <v>27000</v>
      </c>
      <c r="E30" s="114"/>
    </row>
    <row r="31" spans="1:5" s="101" customFormat="1" ht="45" customHeight="1">
      <c r="A31" s="892">
        <v>1.6</v>
      </c>
      <c r="B31" s="1163" t="s">
        <v>1748</v>
      </c>
      <c r="C31" s="1165">
        <f>C32+C33+C34+C35+C36+C37</f>
        <v>87850</v>
      </c>
      <c r="E31" s="114"/>
    </row>
    <row r="32" spans="1:5" s="101" customFormat="1" ht="22.9" customHeight="1">
      <c r="A32" s="892"/>
      <c r="B32" s="112" t="s">
        <v>1192</v>
      </c>
      <c r="C32" s="897">
        <f>600*100</f>
        <v>60000</v>
      </c>
      <c r="E32" s="114"/>
    </row>
    <row r="33" spans="1:5" s="101" customFormat="1" ht="22.9" customHeight="1">
      <c r="A33" s="892"/>
      <c r="B33" s="112" t="s">
        <v>1193</v>
      </c>
      <c r="C33" s="897">
        <f>50*100*2</f>
        <v>10000</v>
      </c>
      <c r="E33" s="114"/>
    </row>
    <row r="34" spans="1:5" s="101" customFormat="1" ht="22.9" customHeight="1">
      <c r="A34" s="892"/>
      <c r="B34" s="112" t="s">
        <v>1194</v>
      </c>
      <c r="C34" s="897">
        <f>600*6</f>
        <v>3600</v>
      </c>
      <c r="E34" s="114"/>
    </row>
    <row r="35" spans="1:5" s="101" customFormat="1" ht="22.9" customHeight="1">
      <c r="A35" s="892"/>
      <c r="B35" s="112" t="s">
        <v>1195</v>
      </c>
      <c r="C35" s="897">
        <f>4000</f>
        <v>4000</v>
      </c>
      <c r="E35" s="114"/>
    </row>
    <row r="36" spans="1:5" s="101" customFormat="1" ht="22.9" customHeight="1">
      <c r="A36" s="892"/>
      <c r="B36" s="112" t="s">
        <v>1196</v>
      </c>
      <c r="C36" s="897">
        <f>80*100</f>
        <v>8000</v>
      </c>
      <c r="E36" s="114"/>
    </row>
    <row r="37" spans="1:5" s="101" customFormat="1" ht="22.9" customHeight="1">
      <c r="A37" s="892"/>
      <c r="B37" s="112" t="s">
        <v>1197</v>
      </c>
      <c r="C37" s="897">
        <v>2250</v>
      </c>
      <c r="E37" s="114"/>
    </row>
    <row r="38" spans="1:5" s="101" customFormat="1" ht="63">
      <c r="A38" s="892">
        <v>1.7</v>
      </c>
      <c r="B38" s="1163" t="s">
        <v>1902</v>
      </c>
      <c r="C38" s="1165">
        <f>C39+C40+C41+C42+C43+C44+C45</f>
        <v>6845000</v>
      </c>
      <c r="E38" s="114"/>
    </row>
    <row r="39" spans="1:5" s="101" customFormat="1" ht="23.25" customHeight="1">
      <c r="A39" s="892"/>
      <c r="B39" s="898" t="s">
        <v>1198</v>
      </c>
      <c r="C39" s="897">
        <f>100*15000</f>
        <v>1500000</v>
      </c>
      <c r="E39" s="114"/>
    </row>
    <row r="40" spans="1:5" s="101" customFormat="1" ht="23.25" customHeight="1">
      <c r="A40" s="892"/>
      <c r="B40" s="898" t="s">
        <v>1199</v>
      </c>
      <c r="C40" s="897">
        <f>50*15000</f>
        <v>750000</v>
      </c>
      <c r="E40" s="114"/>
    </row>
    <row r="41" spans="1:5" s="101" customFormat="1" ht="23.25" customHeight="1">
      <c r="A41" s="892"/>
      <c r="B41" s="898" t="s">
        <v>1200</v>
      </c>
      <c r="C41" s="897">
        <f>2250*500</f>
        <v>1125000</v>
      </c>
      <c r="E41" s="114"/>
    </row>
    <row r="42" spans="1:5" s="101" customFormat="1" ht="23.25" customHeight="1">
      <c r="A42" s="892"/>
      <c r="B42" s="898" t="s">
        <v>1201</v>
      </c>
      <c r="C42" s="897">
        <f>240*500</f>
        <v>120000</v>
      </c>
      <c r="E42" s="114"/>
    </row>
    <row r="43" spans="1:5" s="101" customFormat="1" ht="23.25" customHeight="1">
      <c r="A43" s="892"/>
      <c r="B43" s="898" t="s">
        <v>1202</v>
      </c>
      <c r="C43" s="897">
        <f>2500*500</f>
        <v>1250000</v>
      </c>
      <c r="E43" s="114"/>
    </row>
    <row r="44" spans="1:5" s="101" customFormat="1" ht="23.25" customHeight="1">
      <c r="A44" s="892"/>
      <c r="B44" s="898" t="s">
        <v>1203</v>
      </c>
      <c r="C44" s="897">
        <f>1200*500</f>
        <v>600000</v>
      </c>
      <c r="E44" s="114"/>
    </row>
    <row r="45" spans="1:5" s="101" customFormat="1" ht="23.25" customHeight="1">
      <c r="A45" s="892"/>
      <c r="B45" s="898" t="s">
        <v>1204</v>
      </c>
      <c r="C45" s="897">
        <f>100*15000</f>
        <v>1500000</v>
      </c>
      <c r="E45" s="114"/>
    </row>
    <row r="46" spans="1:5" s="101" customFormat="1" ht="63">
      <c r="A46" s="892">
        <v>1.7</v>
      </c>
      <c r="B46" s="1163" t="s">
        <v>1904</v>
      </c>
      <c r="C46" s="1164">
        <f>C47+C48+C49+C50+C51+C52</f>
        <v>2296000</v>
      </c>
      <c r="E46" s="114"/>
    </row>
    <row r="47" spans="1:5" s="101" customFormat="1" ht="23.25" customHeight="1">
      <c r="A47" s="892"/>
      <c r="B47" s="112" t="s">
        <v>1205</v>
      </c>
      <c r="C47" s="897">
        <f>100*900</f>
        <v>90000</v>
      </c>
      <c r="E47" s="114"/>
    </row>
    <row r="48" spans="1:5" s="101" customFormat="1" ht="23.25" customHeight="1">
      <c r="A48" s="892"/>
      <c r="B48" s="112" t="s">
        <v>1200</v>
      </c>
      <c r="C48" s="897">
        <f>2250*500</f>
        <v>1125000</v>
      </c>
      <c r="E48" s="114"/>
    </row>
    <row r="49" spans="1:5" s="101" customFormat="1" ht="23.25" customHeight="1">
      <c r="A49" s="892"/>
      <c r="B49" s="112" t="s">
        <v>1206</v>
      </c>
      <c r="C49" s="897">
        <f>240*900</f>
        <v>216000</v>
      </c>
      <c r="E49" s="114"/>
    </row>
    <row r="50" spans="1:5" s="101" customFormat="1" ht="23.25" customHeight="1">
      <c r="A50" s="892"/>
      <c r="B50" s="112" t="s">
        <v>1207</v>
      </c>
      <c r="C50" s="897">
        <f>2500*70</f>
        <v>175000</v>
      </c>
      <c r="E50" s="114"/>
    </row>
    <row r="51" spans="1:5" s="101" customFormat="1" ht="23.25" customHeight="1">
      <c r="A51" s="892"/>
      <c r="B51" s="112" t="s">
        <v>1208</v>
      </c>
      <c r="C51" s="897">
        <f>1200*500</f>
        <v>600000</v>
      </c>
      <c r="E51" s="114"/>
    </row>
    <row r="52" spans="1:5" s="101" customFormat="1" ht="23.25" customHeight="1">
      <c r="A52" s="892"/>
      <c r="B52" s="112" t="s">
        <v>1209</v>
      </c>
      <c r="C52" s="897">
        <f>100*900</f>
        <v>90000</v>
      </c>
      <c r="E52" s="114"/>
    </row>
    <row r="53" spans="1:5" s="101" customFormat="1" ht="48" customHeight="1">
      <c r="A53" s="892">
        <v>1.8</v>
      </c>
      <c r="B53" s="1163" t="s">
        <v>1903</v>
      </c>
      <c r="C53" s="1164">
        <f>C54+C55+C56+C57+C58+C59+C60</f>
        <v>350600</v>
      </c>
      <c r="E53" s="114"/>
    </row>
    <row r="54" spans="1:5" s="101" customFormat="1" ht="23.25" customHeight="1">
      <c r="A54" s="892"/>
      <c r="B54" s="116" t="s">
        <v>1210</v>
      </c>
      <c r="C54" s="897">
        <f>4000*4</f>
        <v>16000</v>
      </c>
      <c r="E54" s="114"/>
    </row>
    <row r="55" spans="1:5" s="101" customFormat="1" ht="23.25" customHeight="1">
      <c r="A55" s="892"/>
      <c r="B55" s="116" t="s">
        <v>1211</v>
      </c>
      <c r="C55" s="897">
        <f>700*200</f>
        <v>140000</v>
      </c>
      <c r="E55" s="114"/>
    </row>
    <row r="56" spans="1:5" s="101" customFormat="1" ht="23.25" customHeight="1">
      <c r="A56" s="892"/>
      <c r="B56" s="116" t="s">
        <v>1212</v>
      </c>
      <c r="C56" s="897">
        <f>2250*12</f>
        <v>27000</v>
      </c>
      <c r="E56" s="114"/>
    </row>
    <row r="57" spans="1:5" s="101" customFormat="1" ht="23.25" customHeight="1">
      <c r="A57" s="892"/>
      <c r="B57" s="116" t="s">
        <v>1213</v>
      </c>
      <c r="C57" s="897">
        <f>2500*36</f>
        <v>90000</v>
      </c>
      <c r="E57" s="114"/>
    </row>
    <row r="58" spans="1:5" s="101" customFormat="1" ht="23.25" customHeight="1">
      <c r="A58" s="892"/>
      <c r="B58" s="116" t="s">
        <v>1214</v>
      </c>
      <c r="C58" s="897">
        <f>240*20</f>
        <v>4800</v>
      </c>
      <c r="E58" s="114"/>
    </row>
    <row r="59" spans="1:5" s="101" customFormat="1" ht="23.25" customHeight="1">
      <c r="A59" s="892"/>
      <c r="B59" s="116" t="s">
        <v>1215</v>
      </c>
      <c r="C59" s="897">
        <f>1200*44</f>
        <v>52800</v>
      </c>
      <c r="E59" s="114"/>
    </row>
    <row r="60" spans="1:5" s="101" customFormat="1" ht="23.25" customHeight="1">
      <c r="A60" s="892"/>
      <c r="B60" s="116" t="s">
        <v>1216</v>
      </c>
      <c r="C60" s="897">
        <f>100*200</f>
        <v>20000</v>
      </c>
      <c r="E60" s="114"/>
    </row>
    <row r="61" spans="1:5" s="101" customFormat="1" ht="23.25" customHeight="1">
      <c r="A61" s="892">
        <v>1.9</v>
      </c>
      <c r="B61" s="1163" t="s">
        <v>1905</v>
      </c>
      <c r="C61" s="1164">
        <f>C62+C63+C64</f>
        <v>2100000</v>
      </c>
      <c r="E61" s="114"/>
    </row>
    <row r="62" spans="1:5" s="101" customFormat="1" ht="23.25" customHeight="1">
      <c r="A62" s="892"/>
      <c r="B62" s="116" t="s">
        <v>1217</v>
      </c>
      <c r="C62" s="897">
        <f>50000*30</f>
        <v>1500000</v>
      </c>
      <c r="E62" s="114"/>
    </row>
    <row r="63" spans="1:5" s="101" customFormat="1" ht="23.25" customHeight="1">
      <c r="A63" s="892"/>
      <c r="B63" s="116" t="s">
        <v>1218</v>
      </c>
      <c r="C63" s="897">
        <f>10000*30</f>
        <v>300000</v>
      </c>
      <c r="E63" s="114"/>
    </row>
    <row r="64" spans="1:5" s="101" customFormat="1" ht="23.25" customHeight="1">
      <c r="A64" s="892"/>
      <c r="B64" s="116" t="s">
        <v>1219</v>
      </c>
      <c r="C64" s="897">
        <f>10000*30</f>
        <v>300000</v>
      </c>
      <c r="E64" s="114"/>
    </row>
    <row r="65" spans="1:5" s="101" customFormat="1" ht="23.25" customHeight="1">
      <c r="A65" s="899" t="s">
        <v>1220</v>
      </c>
      <c r="B65" s="1163" t="s">
        <v>100</v>
      </c>
      <c r="C65" s="1164">
        <f>C66+C67+C68+C69+C71+C72</f>
        <v>56800</v>
      </c>
      <c r="E65" s="114"/>
    </row>
    <row r="66" spans="1:5" s="101" customFormat="1" ht="23.25" customHeight="1">
      <c r="A66" s="899"/>
      <c r="B66" s="116" t="s">
        <v>1221</v>
      </c>
      <c r="C66" s="897">
        <f>500*12</f>
        <v>6000</v>
      </c>
      <c r="D66" s="900"/>
      <c r="E66" s="114"/>
    </row>
    <row r="67" spans="1:5" s="101" customFormat="1" ht="23.25" customHeight="1">
      <c r="A67" s="899"/>
      <c r="B67" s="116" t="s">
        <v>1222</v>
      </c>
      <c r="C67" s="897">
        <f>800*12</f>
        <v>9600</v>
      </c>
      <c r="D67" s="900"/>
      <c r="E67" s="114"/>
    </row>
    <row r="68" spans="1:5" s="101" customFormat="1" ht="23.25" customHeight="1">
      <c r="A68" s="899"/>
      <c r="B68" s="116" t="s">
        <v>1223</v>
      </c>
      <c r="C68" s="897">
        <f>800*12</f>
        <v>9600</v>
      </c>
      <c r="D68" s="900"/>
      <c r="E68" s="114"/>
    </row>
    <row r="69" spans="1:5" s="101" customFormat="1" ht="23.25" customHeight="1">
      <c r="A69" s="899"/>
      <c r="B69" s="116" t="s">
        <v>1224</v>
      </c>
      <c r="C69" s="897">
        <f>800*12</f>
        <v>9600</v>
      </c>
      <c r="D69" s="900"/>
      <c r="E69" s="114"/>
    </row>
    <row r="70" spans="1:5" s="101" customFormat="1" ht="23.25" customHeight="1">
      <c r="A70" s="899"/>
      <c r="B70" s="116" t="s">
        <v>1225</v>
      </c>
      <c r="C70" s="897"/>
      <c r="D70" s="900"/>
      <c r="E70" s="114"/>
    </row>
    <row r="71" spans="1:5" s="101" customFormat="1" ht="23.25" customHeight="1">
      <c r="A71" s="899"/>
      <c r="B71" s="116" t="s">
        <v>1226</v>
      </c>
      <c r="C71" s="897">
        <f>1000*12</f>
        <v>12000</v>
      </c>
      <c r="D71" s="900"/>
      <c r="E71" s="114"/>
    </row>
    <row r="72" spans="1:5" s="101" customFormat="1" ht="23.25" customHeight="1">
      <c r="A72" s="892"/>
      <c r="B72" s="116" t="s">
        <v>1227</v>
      </c>
      <c r="C72" s="897">
        <f>500*20</f>
        <v>10000</v>
      </c>
      <c r="D72" s="900"/>
      <c r="E72" s="114"/>
    </row>
    <row r="73" spans="1:5" s="101" customFormat="1" ht="23.25" customHeight="1" thickBot="1">
      <c r="A73" s="892">
        <v>1.1100000000000001</v>
      </c>
      <c r="B73" s="1163" t="s">
        <v>1060</v>
      </c>
      <c r="C73" s="1164">
        <f>3250</f>
        <v>3250</v>
      </c>
      <c r="E73" s="114"/>
    </row>
    <row r="74" spans="1:5" ht="21">
      <c r="A74" s="130"/>
      <c r="B74" s="131" t="s">
        <v>4</v>
      </c>
      <c r="C74" s="132">
        <f>C7+C15+C20+C23+C24+C31+C38+C46+C53+C61+C65+C73</f>
        <v>25000000</v>
      </c>
    </row>
    <row r="75" spans="1:5">
      <c r="A75" s="133"/>
      <c r="B75" s="134" t="str">
        <f>BAHTTEXT(C74)</f>
        <v>ยี่สิบห้าล้านบาทถ้วน</v>
      </c>
      <c r="C75" s="135"/>
    </row>
    <row r="76" spans="1:5" ht="19.5" thickBot="1">
      <c r="A76" s="136"/>
      <c r="B76" s="137"/>
      <c r="C76" s="138"/>
    </row>
    <row r="77" spans="1:5">
      <c r="B77" s="97"/>
      <c r="C77" s="139"/>
    </row>
    <row r="78" spans="1:5">
      <c r="C78" s="139"/>
    </row>
  </sheetData>
  <mergeCells count="2">
    <mergeCell ref="A1:C1"/>
    <mergeCell ref="A2:C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45"/>
  <sheetViews>
    <sheetView workbookViewId="0">
      <selection sqref="A1:C1"/>
    </sheetView>
  </sheetViews>
  <sheetFormatPr defaultColWidth="9" defaultRowHeight="18.75"/>
  <cols>
    <col min="1" max="1" width="5.375" style="836" customWidth="1"/>
    <col min="2" max="2" width="106.25" style="94" bestFit="1" customWidth="1"/>
    <col min="3" max="3" width="15.25" style="140" bestFit="1" customWidth="1"/>
    <col min="4" max="16384" width="9" style="94"/>
  </cols>
  <sheetData>
    <row r="1" spans="1:4" ht="21">
      <c r="A1" s="1367" t="s">
        <v>1105</v>
      </c>
      <c r="B1" s="1367"/>
      <c r="C1" s="1367"/>
    </row>
    <row r="2" spans="1:4" ht="21">
      <c r="A2" s="1368" t="s">
        <v>1228</v>
      </c>
      <c r="B2" s="1368"/>
      <c r="C2" s="1368"/>
    </row>
    <row r="3" spans="1:4" ht="21.75" thickBot="1">
      <c r="A3" s="867"/>
      <c r="B3" s="867"/>
      <c r="C3" s="868"/>
    </row>
    <row r="4" spans="1:4" s="836" customFormat="1" ht="21">
      <c r="A4" s="878"/>
      <c r="B4" s="878" t="s">
        <v>0</v>
      </c>
      <c r="C4" s="879" t="s">
        <v>1</v>
      </c>
    </row>
    <row r="5" spans="1:4" ht="21.75" thickBot="1">
      <c r="A5" s="880"/>
      <c r="B5" s="881"/>
      <c r="C5" s="882" t="s">
        <v>2</v>
      </c>
    </row>
    <row r="6" spans="1:4" ht="21.75" thickBot="1">
      <c r="A6" s="883">
        <v>1</v>
      </c>
      <c r="B6" s="884" t="s">
        <v>1229</v>
      </c>
      <c r="C6" s="885">
        <f>C7+C16+C20+C24+C31+C37+C39</f>
        <v>5750000</v>
      </c>
      <c r="D6" s="97"/>
    </row>
    <row r="7" spans="1:4" s="101" customFormat="1" ht="21">
      <c r="A7" s="1167">
        <v>1.1000000000000001</v>
      </c>
      <c r="B7" s="1168" t="str">
        <f>'[1]4.2 ขึ้นทะเบียน '!B1</f>
        <v>บุคลากร</v>
      </c>
      <c r="C7" s="1169">
        <f>C8+C9+C10+C11+C12+C13+C14</f>
        <v>2222000</v>
      </c>
    </row>
    <row r="8" spans="1:4" s="105" customFormat="1" ht="21">
      <c r="A8" s="889"/>
      <c r="B8" s="890" t="s">
        <v>1751</v>
      </c>
      <c r="C8" s="891">
        <f>1*70000*6</f>
        <v>420000</v>
      </c>
    </row>
    <row r="9" spans="1:4" s="105" customFormat="1" ht="21">
      <c r="A9" s="889"/>
      <c r="B9" s="890" t="s">
        <v>1752</v>
      </c>
      <c r="C9" s="891">
        <f>2*50000*5</f>
        <v>500000</v>
      </c>
    </row>
    <row r="10" spans="1:4" s="105" customFormat="1" ht="21">
      <c r="A10" s="889"/>
      <c r="B10" s="890" t="s">
        <v>1753</v>
      </c>
      <c r="C10" s="891">
        <f>1*50000*5</f>
        <v>250000</v>
      </c>
    </row>
    <row r="11" spans="1:4" s="105" customFormat="1" ht="21">
      <c r="A11" s="889"/>
      <c r="B11" s="890" t="s">
        <v>1754</v>
      </c>
      <c r="C11" s="891">
        <f>1*50000*5</f>
        <v>250000</v>
      </c>
    </row>
    <row r="12" spans="1:4" s="105" customFormat="1" ht="21">
      <c r="A12" s="889"/>
      <c r="B12" s="890" t="s">
        <v>1755</v>
      </c>
      <c r="C12" s="891">
        <f>1*50000*5</f>
        <v>250000</v>
      </c>
    </row>
    <row r="13" spans="1:4" s="105" customFormat="1" ht="21">
      <c r="A13" s="889"/>
      <c r="B13" s="890" t="s">
        <v>1756</v>
      </c>
      <c r="C13" s="891">
        <f>4*18000*6</f>
        <v>432000</v>
      </c>
    </row>
    <row r="14" spans="1:4" s="101" customFormat="1" ht="21">
      <c r="A14" s="892"/>
      <c r="B14" s="893" t="s">
        <v>1757</v>
      </c>
      <c r="C14" s="891">
        <f>1*15000*8</f>
        <v>120000</v>
      </c>
    </row>
    <row r="15" spans="1:4" s="101" customFormat="1" ht="21">
      <c r="A15" s="894" t="s">
        <v>98</v>
      </c>
      <c r="B15" s="895"/>
      <c r="C15" s="104"/>
    </row>
    <row r="16" spans="1:4" s="101" customFormat="1" ht="21">
      <c r="A16" s="1166">
        <v>1.2</v>
      </c>
      <c r="B16" s="1162" t="s">
        <v>1749</v>
      </c>
      <c r="C16" s="1164">
        <f>C17+C18+C19</f>
        <v>120000</v>
      </c>
    </row>
    <row r="17" spans="1:5" s="105" customFormat="1" ht="21">
      <c r="A17" s="889"/>
      <c r="B17" s="178" t="s">
        <v>1231</v>
      </c>
      <c r="C17" s="891">
        <f>600*150*1</f>
        <v>90000</v>
      </c>
    </row>
    <row r="18" spans="1:5" s="105" customFormat="1" ht="21">
      <c r="A18" s="889"/>
      <c r="B18" s="178" t="s">
        <v>1232</v>
      </c>
      <c r="C18" s="891">
        <f>50*2*150</f>
        <v>15000</v>
      </c>
    </row>
    <row r="19" spans="1:5" s="105" customFormat="1" ht="21">
      <c r="A19" s="889"/>
      <c r="B19" s="178" t="s">
        <v>1233</v>
      </c>
      <c r="C19" s="891">
        <f>100*150</f>
        <v>15000</v>
      </c>
    </row>
    <row r="20" spans="1:5" s="101" customFormat="1" ht="23.25" customHeight="1">
      <c r="A20" s="1166">
        <v>1.3</v>
      </c>
      <c r="B20" s="1163" t="s">
        <v>1750</v>
      </c>
      <c r="C20" s="1164">
        <f>C21+C22+C23</f>
        <v>2388000</v>
      </c>
      <c r="E20" s="114"/>
    </row>
    <row r="21" spans="1:5" s="101" customFormat="1" ht="23.25" customHeight="1">
      <c r="A21" s="892"/>
      <c r="B21" s="112" t="s">
        <v>1235</v>
      </c>
      <c r="C21" s="897">
        <f>2*4*50*3*1000</f>
        <v>1200000</v>
      </c>
      <c r="E21" s="114"/>
    </row>
    <row r="22" spans="1:5" s="101" customFormat="1" ht="23.25" customHeight="1">
      <c r="A22" s="892"/>
      <c r="B22" s="112" t="s">
        <v>1236</v>
      </c>
      <c r="C22" s="897">
        <f>2*4*50*3*240</f>
        <v>288000</v>
      </c>
      <c r="E22" s="114"/>
    </row>
    <row r="23" spans="1:5" s="101" customFormat="1" ht="23.25" customHeight="1">
      <c r="A23" s="892"/>
      <c r="B23" s="112" t="s">
        <v>1237</v>
      </c>
      <c r="C23" s="897">
        <f>2*4*50*2250</f>
        <v>900000</v>
      </c>
      <c r="E23" s="114"/>
    </row>
    <row r="24" spans="1:5" s="101" customFormat="1" ht="23.25" customHeight="1">
      <c r="A24" s="1166">
        <v>1.4</v>
      </c>
      <c r="B24" s="1163" t="s">
        <v>1899</v>
      </c>
      <c r="C24" s="1164">
        <f>C25+C26+C27+C28+C29+C30</f>
        <v>780000</v>
      </c>
      <c r="E24" s="114"/>
    </row>
    <row r="25" spans="1:5" s="101" customFormat="1" ht="23.25" customHeight="1">
      <c r="A25" s="892"/>
      <c r="B25" s="112" t="s">
        <v>1238</v>
      </c>
      <c r="C25" s="897">
        <f>600*150</f>
        <v>90000</v>
      </c>
      <c r="E25" s="114"/>
    </row>
    <row r="26" spans="1:5" s="101" customFormat="1" ht="23.25" customHeight="1">
      <c r="A26" s="892"/>
      <c r="B26" s="112" t="s">
        <v>1239</v>
      </c>
      <c r="C26" s="897">
        <f>50*2*150</f>
        <v>15000</v>
      </c>
      <c r="E26" s="114"/>
    </row>
    <row r="27" spans="1:5" s="101" customFormat="1" ht="23.25" customHeight="1">
      <c r="A27" s="892"/>
      <c r="B27" s="112" t="s">
        <v>1240</v>
      </c>
      <c r="C27" s="897">
        <f>100*150</f>
        <v>15000</v>
      </c>
      <c r="E27" s="114"/>
    </row>
    <row r="28" spans="1:5" s="101" customFormat="1" ht="23.25" customHeight="1">
      <c r="A28" s="892"/>
      <c r="B28" s="112" t="s">
        <v>1241</v>
      </c>
      <c r="C28" s="897">
        <f>50*2000</f>
        <v>100000</v>
      </c>
      <c r="E28" s="114"/>
    </row>
    <row r="29" spans="1:5" s="101" customFormat="1" ht="23.25" customHeight="1">
      <c r="A29" s="892"/>
      <c r="B29" s="112" t="s">
        <v>1242</v>
      </c>
      <c r="C29" s="897">
        <f>350*800</f>
        <v>280000</v>
      </c>
      <c r="E29" s="114"/>
    </row>
    <row r="30" spans="1:5" s="101" customFormat="1" ht="23.25" customHeight="1">
      <c r="A30" s="892"/>
      <c r="B30" s="112" t="s">
        <v>1243</v>
      </c>
      <c r="C30" s="897">
        <f>350*800</f>
        <v>280000</v>
      </c>
      <c r="E30" s="114"/>
    </row>
    <row r="31" spans="1:5" s="101" customFormat="1" ht="22.9" customHeight="1">
      <c r="A31" s="1166">
        <v>1.5</v>
      </c>
      <c r="B31" s="1163" t="s">
        <v>1244</v>
      </c>
      <c r="C31" s="1164">
        <f>C32+C33+C34+C35+C36</f>
        <v>98000</v>
      </c>
      <c r="E31" s="114"/>
    </row>
    <row r="32" spans="1:5" s="101" customFormat="1" ht="23.25" customHeight="1">
      <c r="A32" s="892"/>
      <c r="B32" s="112" t="s">
        <v>1245</v>
      </c>
      <c r="C32" s="897">
        <f>10*800</f>
        <v>8000</v>
      </c>
      <c r="E32" s="114"/>
    </row>
    <row r="33" spans="1:5" s="101" customFormat="1" ht="23.25" customHeight="1">
      <c r="A33" s="892"/>
      <c r="B33" s="112" t="s">
        <v>1246</v>
      </c>
      <c r="C33" s="897">
        <f t="shared" ref="C33:C34" si="0">10*800</f>
        <v>8000</v>
      </c>
      <c r="E33" s="114"/>
    </row>
    <row r="34" spans="1:5" s="101" customFormat="1" ht="23.25" customHeight="1">
      <c r="A34" s="892"/>
      <c r="B34" s="112" t="s">
        <v>1247</v>
      </c>
      <c r="C34" s="897">
        <f t="shared" si="0"/>
        <v>8000</v>
      </c>
      <c r="E34" s="114"/>
    </row>
    <row r="35" spans="1:5" s="101" customFormat="1" ht="23.25" customHeight="1">
      <c r="A35" s="892"/>
      <c r="B35" s="112" t="s">
        <v>1248</v>
      </c>
      <c r="C35" s="897">
        <f>20*1200</f>
        <v>24000</v>
      </c>
      <c r="E35" s="114"/>
    </row>
    <row r="36" spans="1:5" s="101" customFormat="1" ht="23.25" customHeight="1">
      <c r="A36" s="1166">
        <v>1.6</v>
      </c>
      <c r="B36" s="894" t="s">
        <v>1249</v>
      </c>
      <c r="C36" s="121">
        <f>50000</f>
        <v>50000</v>
      </c>
      <c r="E36" s="114"/>
    </row>
    <row r="37" spans="1:5" s="101" customFormat="1" ht="23.25" customHeight="1">
      <c r="A37" s="1166">
        <v>1.7</v>
      </c>
      <c r="B37" s="1163" t="s">
        <v>1250</v>
      </c>
      <c r="C37" s="1164">
        <f>C38</f>
        <v>140000</v>
      </c>
      <c r="E37" s="114"/>
    </row>
    <row r="38" spans="1:5" s="101" customFormat="1" ht="23.25" customHeight="1">
      <c r="A38" s="892"/>
      <c r="B38" s="112" t="s">
        <v>1251</v>
      </c>
      <c r="C38" s="897">
        <f>200*350*2</f>
        <v>140000</v>
      </c>
      <c r="E38" s="114"/>
    </row>
    <row r="39" spans="1:5" s="101" customFormat="1" ht="23.25" customHeight="1">
      <c r="A39" s="1166">
        <v>1.8</v>
      </c>
      <c r="B39" s="1163" t="s">
        <v>1060</v>
      </c>
      <c r="C39" s="1164">
        <f>2000</f>
        <v>2000</v>
      </c>
      <c r="E39" s="114"/>
    </row>
    <row r="40" spans="1:5" s="101" customFormat="1" ht="23.25" customHeight="1" thickBot="1">
      <c r="A40" s="110"/>
      <c r="B40" s="112"/>
      <c r="C40" s="113"/>
      <c r="E40" s="114"/>
    </row>
    <row r="41" spans="1:5" ht="21">
      <c r="A41" s="130"/>
      <c r="B41" s="131" t="s">
        <v>4</v>
      </c>
      <c r="C41" s="132">
        <f>C39+C37+C31+C24+C20+C16+C7</f>
        <v>5750000</v>
      </c>
    </row>
    <row r="42" spans="1:5">
      <c r="A42" s="133"/>
      <c r="B42" s="134" t="str">
        <f>BAHTTEXT(C41)</f>
        <v>ห้าล้านเจ็ดแสนห้าหมื่นบาทถ้วน</v>
      </c>
      <c r="C42" s="135"/>
    </row>
    <row r="43" spans="1:5" ht="19.5" thickBot="1">
      <c r="A43" s="136"/>
      <c r="B43" s="137"/>
      <c r="C43" s="138"/>
    </row>
    <row r="44" spans="1:5">
      <c r="B44" s="97"/>
      <c r="C44" s="139"/>
    </row>
    <row r="45" spans="1:5">
      <c r="C45" s="139"/>
    </row>
  </sheetData>
  <mergeCells count="2">
    <mergeCell ref="A1:C1"/>
    <mergeCell ref="A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45"/>
  <sheetViews>
    <sheetView workbookViewId="0">
      <selection sqref="A1:C1"/>
    </sheetView>
  </sheetViews>
  <sheetFormatPr defaultColWidth="9" defaultRowHeight="18.75"/>
  <cols>
    <col min="1" max="1" width="5.375" style="836" customWidth="1"/>
    <col min="2" max="2" width="106.25" style="94" bestFit="1" customWidth="1"/>
    <col min="3" max="3" width="15.25" style="140" bestFit="1" customWidth="1"/>
    <col min="4" max="16384" width="9" style="94"/>
  </cols>
  <sheetData>
    <row r="1" spans="1:4" ht="21">
      <c r="A1" s="1367" t="s">
        <v>1105</v>
      </c>
      <c r="B1" s="1367"/>
      <c r="C1" s="1367"/>
    </row>
    <row r="2" spans="1:4" ht="21">
      <c r="A2" s="1368" t="s">
        <v>1228</v>
      </c>
      <c r="B2" s="1368"/>
      <c r="C2" s="1368"/>
    </row>
    <row r="3" spans="1:4" ht="21.75" thickBot="1">
      <c r="A3" s="867"/>
      <c r="B3" s="867"/>
      <c r="C3" s="868"/>
    </row>
    <row r="4" spans="1:4" s="836" customFormat="1" ht="21">
      <c r="A4" s="878"/>
      <c r="B4" s="878" t="s">
        <v>0</v>
      </c>
      <c r="C4" s="879" t="s">
        <v>1</v>
      </c>
    </row>
    <row r="5" spans="1:4" ht="21.75" thickBot="1">
      <c r="A5" s="880"/>
      <c r="B5" s="881"/>
      <c r="C5" s="882" t="s">
        <v>2</v>
      </c>
    </row>
    <row r="6" spans="1:4" ht="21.75" thickBot="1">
      <c r="A6" s="883">
        <v>1</v>
      </c>
      <c r="B6" s="884" t="s">
        <v>1252</v>
      </c>
      <c r="C6" s="885">
        <f>C7+C16+C20+C24+C31+C37+C39</f>
        <v>5750000</v>
      </c>
      <c r="D6" s="97"/>
    </row>
    <row r="7" spans="1:4" s="101" customFormat="1" ht="21">
      <c r="A7" s="886">
        <v>1.1000000000000001</v>
      </c>
      <c r="B7" s="887" t="str">
        <f>'[1]4.2 ขึ้นทะเบียน '!B1</f>
        <v>บุคลากร</v>
      </c>
      <c r="C7" s="888">
        <f>C8+C9+C10+C11+C12+C13+C14</f>
        <v>2222000</v>
      </c>
    </row>
    <row r="8" spans="1:4" s="105" customFormat="1" ht="21">
      <c r="A8" s="889"/>
      <c r="B8" s="890" t="s">
        <v>1758</v>
      </c>
      <c r="C8" s="891">
        <f>1*70000*6</f>
        <v>420000</v>
      </c>
    </row>
    <row r="9" spans="1:4" s="105" customFormat="1" ht="21">
      <c r="A9" s="889"/>
      <c r="B9" s="890" t="s">
        <v>1752</v>
      </c>
      <c r="C9" s="891">
        <f>2*50000*5</f>
        <v>500000</v>
      </c>
    </row>
    <row r="10" spans="1:4" s="105" customFormat="1" ht="21">
      <c r="A10" s="889"/>
      <c r="B10" s="890" t="s">
        <v>1759</v>
      </c>
      <c r="C10" s="891">
        <f>1*50000*5</f>
        <v>250000</v>
      </c>
    </row>
    <row r="11" spans="1:4" s="105" customFormat="1" ht="21">
      <c r="A11" s="889"/>
      <c r="B11" s="890" t="s">
        <v>1760</v>
      </c>
      <c r="C11" s="891">
        <f>1*50000*5</f>
        <v>250000</v>
      </c>
    </row>
    <row r="12" spans="1:4" s="105" customFormat="1" ht="21">
      <c r="A12" s="889"/>
      <c r="B12" s="890" t="s">
        <v>1761</v>
      </c>
      <c r="C12" s="891">
        <f>1*50000*5</f>
        <v>250000</v>
      </c>
    </row>
    <row r="13" spans="1:4" s="105" customFormat="1" ht="21">
      <c r="A13" s="889"/>
      <c r="B13" s="890" t="s">
        <v>1762</v>
      </c>
      <c r="C13" s="891">
        <f>4*18000*6</f>
        <v>432000</v>
      </c>
    </row>
    <row r="14" spans="1:4" s="101" customFormat="1" ht="21">
      <c r="A14" s="892"/>
      <c r="B14" s="893" t="s">
        <v>1757</v>
      </c>
      <c r="C14" s="891">
        <f>1*15000*8</f>
        <v>120000</v>
      </c>
    </row>
    <row r="15" spans="1:4" s="101" customFormat="1" ht="21">
      <c r="A15" s="894" t="s">
        <v>98</v>
      </c>
      <c r="B15" s="895"/>
      <c r="C15" s="104"/>
    </row>
    <row r="16" spans="1:4" s="101" customFormat="1" ht="21">
      <c r="A16" s="892">
        <v>1.2</v>
      </c>
      <c r="B16" s="111" t="s">
        <v>1230</v>
      </c>
      <c r="C16" s="896">
        <f>C17+C18+C19</f>
        <v>120000</v>
      </c>
    </row>
    <row r="17" spans="1:5" s="105" customFormat="1" ht="21">
      <c r="A17" s="889"/>
      <c r="B17" s="178" t="s">
        <v>1231</v>
      </c>
      <c r="C17" s="891">
        <f>600*150*1</f>
        <v>90000</v>
      </c>
    </row>
    <row r="18" spans="1:5" s="105" customFormat="1" ht="21">
      <c r="A18" s="889"/>
      <c r="B18" s="178" t="s">
        <v>1232</v>
      </c>
      <c r="C18" s="891">
        <f>50*2*150</f>
        <v>15000</v>
      </c>
    </row>
    <row r="19" spans="1:5" s="105" customFormat="1" ht="21">
      <c r="A19" s="889"/>
      <c r="B19" s="178" t="s">
        <v>1233</v>
      </c>
      <c r="C19" s="891">
        <f>100*150</f>
        <v>15000</v>
      </c>
    </row>
    <row r="20" spans="1:5" s="101" customFormat="1" ht="23.25" customHeight="1">
      <c r="A20" s="892">
        <v>1.3</v>
      </c>
      <c r="B20" s="116" t="s">
        <v>1234</v>
      </c>
      <c r="C20" s="896">
        <f>C21+C22+C23</f>
        <v>2388000</v>
      </c>
      <c r="E20" s="114"/>
    </row>
    <row r="21" spans="1:5" s="101" customFormat="1" ht="23.25" customHeight="1">
      <c r="A21" s="892"/>
      <c r="B21" s="112" t="s">
        <v>1235</v>
      </c>
      <c r="C21" s="897">
        <f>2*4*50*3*1000</f>
        <v>1200000</v>
      </c>
      <c r="E21" s="114"/>
    </row>
    <row r="22" spans="1:5" s="101" customFormat="1" ht="23.25" customHeight="1">
      <c r="A22" s="892"/>
      <c r="B22" s="112" t="s">
        <v>1236</v>
      </c>
      <c r="C22" s="897">
        <f>2*4*50*3*240</f>
        <v>288000</v>
      </c>
      <c r="E22" s="114"/>
    </row>
    <row r="23" spans="1:5" s="101" customFormat="1" ht="23.25" customHeight="1">
      <c r="A23" s="892"/>
      <c r="B23" s="112" t="s">
        <v>1237</v>
      </c>
      <c r="C23" s="897">
        <f>2*4*50*2250</f>
        <v>900000</v>
      </c>
      <c r="E23" s="114"/>
    </row>
    <row r="24" spans="1:5" s="101" customFormat="1" ht="23.25" customHeight="1">
      <c r="A24" s="892">
        <v>1.4</v>
      </c>
      <c r="B24" s="116" t="s">
        <v>1253</v>
      </c>
      <c r="C24" s="896">
        <f>C25+C26+C27+C28+C29+C30</f>
        <v>780000</v>
      </c>
      <c r="E24" s="114"/>
    </row>
    <row r="25" spans="1:5" s="101" customFormat="1" ht="23.25" customHeight="1">
      <c r="A25" s="892"/>
      <c r="B25" s="112" t="s">
        <v>1238</v>
      </c>
      <c r="C25" s="897">
        <f>600*150</f>
        <v>90000</v>
      </c>
      <c r="E25" s="114"/>
    </row>
    <row r="26" spans="1:5" s="101" customFormat="1" ht="23.25" customHeight="1">
      <c r="A26" s="892"/>
      <c r="B26" s="112" t="s">
        <v>1239</v>
      </c>
      <c r="C26" s="897">
        <f>50*2*150</f>
        <v>15000</v>
      </c>
      <c r="E26" s="114"/>
    </row>
    <row r="27" spans="1:5" s="101" customFormat="1" ht="23.25" customHeight="1">
      <c r="A27" s="892"/>
      <c r="B27" s="112" t="s">
        <v>1240</v>
      </c>
      <c r="C27" s="897">
        <f>100*150</f>
        <v>15000</v>
      </c>
      <c r="E27" s="114"/>
    </row>
    <row r="28" spans="1:5" s="101" customFormat="1" ht="23.25" customHeight="1">
      <c r="A28" s="892"/>
      <c r="B28" s="112" t="s">
        <v>1241</v>
      </c>
      <c r="C28" s="897">
        <f>50*2000</f>
        <v>100000</v>
      </c>
      <c r="E28" s="114"/>
    </row>
    <row r="29" spans="1:5" s="101" customFormat="1" ht="23.25" customHeight="1">
      <c r="A29" s="892"/>
      <c r="B29" s="112" t="s">
        <v>1242</v>
      </c>
      <c r="C29" s="897">
        <f>350*800</f>
        <v>280000</v>
      </c>
      <c r="E29" s="114"/>
    </row>
    <row r="30" spans="1:5" s="101" customFormat="1" ht="23.25" customHeight="1">
      <c r="A30" s="892"/>
      <c r="B30" s="112" t="s">
        <v>1243</v>
      </c>
      <c r="C30" s="897">
        <f>350*800</f>
        <v>280000</v>
      </c>
      <c r="E30" s="114"/>
    </row>
    <row r="31" spans="1:5" s="101" customFormat="1" ht="22.9" customHeight="1">
      <c r="A31" s="892">
        <v>1.5</v>
      </c>
      <c r="B31" s="116" t="s">
        <v>1244</v>
      </c>
      <c r="C31" s="896">
        <f>C32+C33+C34+C35+C36</f>
        <v>98000</v>
      </c>
      <c r="E31" s="114"/>
    </row>
    <row r="32" spans="1:5" s="101" customFormat="1" ht="23.25" customHeight="1">
      <c r="A32" s="892"/>
      <c r="B32" s="112" t="s">
        <v>1245</v>
      </c>
      <c r="C32" s="897">
        <f>10*800</f>
        <v>8000</v>
      </c>
      <c r="E32" s="114"/>
    </row>
    <row r="33" spans="1:5" s="101" customFormat="1" ht="23.25" customHeight="1">
      <c r="A33" s="892"/>
      <c r="B33" s="112" t="s">
        <v>1246</v>
      </c>
      <c r="C33" s="897">
        <f t="shared" ref="C33:C34" si="0">10*800</f>
        <v>8000</v>
      </c>
      <c r="E33" s="114"/>
    </row>
    <row r="34" spans="1:5" s="101" customFormat="1" ht="23.25" customHeight="1">
      <c r="A34" s="892"/>
      <c r="B34" s="112" t="s">
        <v>1247</v>
      </c>
      <c r="C34" s="897">
        <f t="shared" si="0"/>
        <v>8000</v>
      </c>
      <c r="E34" s="114"/>
    </row>
    <row r="35" spans="1:5" s="101" customFormat="1" ht="23.25" customHeight="1">
      <c r="A35" s="892"/>
      <c r="B35" s="112" t="s">
        <v>1248</v>
      </c>
      <c r="C35" s="897">
        <f>20*1200</f>
        <v>24000</v>
      </c>
      <c r="E35" s="114"/>
    </row>
    <row r="36" spans="1:5" s="101" customFormat="1" ht="23.25" customHeight="1">
      <c r="A36" s="892">
        <v>1.6</v>
      </c>
      <c r="B36" s="898" t="s">
        <v>1249</v>
      </c>
      <c r="C36" s="897">
        <f>50000</f>
        <v>50000</v>
      </c>
      <c r="E36" s="114"/>
    </row>
    <row r="37" spans="1:5" s="101" customFormat="1" ht="23.25" customHeight="1">
      <c r="A37" s="892">
        <v>1.7</v>
      </c>
      <c r="B37" s="116" t="s">
        <v>1250</v>
      </c>
      <c r="C37" s="896">
        <f>C38</f>
        <v>140000</v>
      </c>
      <c r="E37" s="114"/>
    </row>
    <row r="38" spans="1:5" s="101" customFormat="1" ht="23.25" customHeight="1">
      <c r="A38" s="892"/>
      <c r="B38" s="112" t="s">
        <v>1251</v>
      </c>
      <c r="C38" s="897">
        <f>200*350*2</f>
        <v>140000</v>
      </c>
      <c r="E38" s="114"/>
    </row>
    <row r="39" spans="1:5" s="101" customFormat="1" ht="23.25" customHeight="1">
      <c r="A39" s="892">
        <v>1.8</v>
      </c>
      <c r="B39" s="116" t="s">
        <v>1060</v>
      </c>
      <c r="C39" s="896">
        <f>2000</f>
        <v>2000</v>
      </c>
      <c r="E39" s="114"/>
    </row>
    <row r="40" spans="1:5" s="101" customFormat="1" ht="23.25" customHeight="1" thickBot="1">
      <c r="A40" s="110"/>
      <c r="B40" s="112"/>
      <c r="C40" s="113"/>
      <c r="E40" s="114"/>
    </row>
    <row r="41" spans="1:5" ht="21">
      <c r="A41" s="130"/>
      <c r="B41" s="131" t="s">
        <v>4</v>
      </c>
      <c r="C41" s="132">
        <f>C39+C37+C31+C24+C20+C16+C7</f>
        <v>5750000</v>
      </c>
    </row>
    <row r="42" spans="1:5">
      <c r="A42" s="133"/>
      <c r="B42" s="134" t="str">
        <f>BAHTTEXT(C41)</f>
        <v>ห้าล้านเจ็ดแสนห้าหมื่นบาทถ้วน</v>
      </c>
      <c r="C42" s="135"/>
    </row>
    <row r="43" spans="1:5" ht="19.5" thickBot="1">
      <c r="A43" s="136"/>
      <c r="B43" s="137"/>
      <c r="C43" s="138"/>
    </row>
    <row r="44" spans="1:5">
      <c r="B44" s="97"/>
      <c r="C44" s="139"/>
    </row>
    <row r="45" spans="1:5">
      <c r="C45" s="139"/>
    </row>
  </sheetData>
  <mergeCells count="2">
    <mergeCell ref="A1:C1"/>
    <mergeCell ref="A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51"/>
  <sheetViews>
    <sheetView workbookViewId="0">
      <selection sqref="A1:C1"/>
    </sheetView>
  </sheetViews>
  <sheetFormatPr defaultColWidth="9" defaultRowHeight="18.75"/>
  <cols>
    <col min="1" max="1" width="5.375" style="836" customWidth="1"/>
    <col min="2" max="2" width="106.25" style="94" bestFit="1" customWidth="1"/>
    <col min="3" max="3" width="15.25" style="140" bestFit="1" customWidth="1"/>
    <col min="4" max="16384" width="9" style="94"/>
  </cols>
  <sheetData>
    <row r="1" spans="1:4" ht="21">
      <c r="A1" s="1367" t="s">
        <v>1105</v>
      </c>
      <c r="B1" s="1367"/>
      <c r="C1" s="1367"/>
    </row>
    <row r="2" spans="1:4" ht="21">
      <c r="A2" s="1368" t="s">
        <v>1254</v>
      </c>
      <c r="B2" s="1368"/>
      <c r="C2" s="1368"/>
    </row>
    <row r="3" spans="1:4" ht="21.75" thickBot="1">
      <c r="A3" s="867"/>
      <c r="B3" s="867"/>
      <c r="C3" s="868"/>
    </row>
    <row r="4" spans="1:4" s="836" customFormat="1" ht="21">
      <c r="A4" s="878"/>
      <c r="B4" s="878" t="s">
        <v>0</v>
      </c>
      <c r="C4" s="879" t="s">
        <v>1</v>
      </c>
    </row>
    <row r="5" spans="1:4" ht="21.75" thickBot="1">
      <c r="A5" s="880"/>
      <c r="B5" s="881"/>
      <c r="C5" s="882" t="s">
        <v>2</v>
      </c>
    </row>
    <row r="6" spans="1:4" ht="21.75" thickBot="1">
      <c r="A6" s="883">
        <v>1</v>
      </c>
      <c r="B6" s="884" t="s">
        <v>1766</v>
      </c>
      <c r="C6" s="885">
        <f>C7+C15+C20+C26+C27+C28+C29+C34+C40+C45</f>
        <v>3500000</v>
      </c>
      <c r="D6" s="97"/>
    </row>
    <row r="7" spans="1:4" s="101" customFormat="1" ht="21">
      <c r="A7" s="886">
        <v>1.1000000000000001</v>
      </c>
      <c r="B7" s="887" t="str">
        <f>'[1]4.2 ขึ้นทะเบียน '!B1</f>
        <v>บุคลากร</v>
      </c>
      <c r="C7" s="888">
        <f>C8+C9+C10+C11+C12+C13</f>
        <v>2250000</v>
      </c>
    </row>
    <row r="8" spans="1:4" s="105" customFormat="1" ht="21">
      <c r="A8" s="889"/>
      <c r="B8" s="890" t="s">
        <v>1763</v>
      </c>
      <c r="C8" s="891">
        <f>1*90000*5</f>
        <v>450000</v>
      </c>
    </row>
    <row r="9" spans="1:4" s="105" customFormat="1" ht="21">
      <c r="A9" s="889"/>
      <c r="B9" s="890" t="s">
        <v>1764</v>
      </c>
      <c r="C9" s="891">
        <f>1*76000*6</f>
        <v>456000</v>
      </c>
    </row>
    <row r="10" spans="1:4" s="105" customFormat="1" ht="21">
      <c r="A10" s="889"/>
      <c r="B10" s="890" t="s">
        <v>1765</v>
      </c>
      <c r="C10" s="891">
        <f>2*50000*7</f>
        <v>700000</v>
      </c>
    </row>
    <row r="11" spans="1:4" s="105" customFormat="1" ht="21">
      <c r="A11" s="889"/>
      <c r="B11" s="890" t="s">
        <v>1767</v>
      </c>
      <c r="C11" s="891">
        <f>1*76000*5</f>
        <v>380000</v>
      </c>
    </row>
    <row r="12" spans="1:4" s="101" customFormat="1" ht="21">
      <c r="A12" s="892"/>
      <c r="B12" s="893" t="s">
        <v>1768</v>
      </c>
      <c r="C12" s="891">
        <f>1*18000*8</f>
        <v>144000</v>
      </c>
    </row>
    <row r="13" spans="1:4" s="101" customFormat="1" ht="21">
      <c r="A13" s="892"/>
      <c r="B13" s="893" t="s">
        <v>1769</v>
      </c>
      <c r="C13" s="891">
        <f>1*15000*8</f>
        <v>120000</v>
      </c>
    </row>
    <row r="14" spans="1:4" s="101" customFormat="1" ht="21">
      <c r="A14" s="894" t="s">
        <v>98</v>
      </c>
      <c r="B14" s="895"/>
      <c r="C14" s="104"/>
    </row>
    <row r="15" spans="1:4" s="101" customFormat="1" ht="24.75" customHeight="1">
      <c r="A15" s="892">
        <v>1.2</v>
      </c>
      <c r="B15" s="1162" t="s">
        <v>1906</v>
      </c>
      <c r="C15" s="896">
        <f>C16+C17+C18+C19</f>
        <v>45000</v>
      </c>
    </row>
    <row r="16" spans="1:4" s="105" customFormat="1" ht="21">
      <c r="A16" s="889"/>
      <c r="B16" s="178" t="s">
        <v>1255</v>
      </c>
      <c r="C16" s="891">
        <f>600*50</f>
        <v>30000</v>
      </c>
    </row>
    <row r="17" spans="1:5" s="105" customFormat="1" ht="21">
      <c r="A17" s="889"/>
      <c r="B17" s="178" t="s">
        <v>1256</v>
      </c>
      <c r="C17" s="891">
        <f>50*2*50</f>
        <v>5000</v>
      </c>
    </row>
    <row r="18" spans="1:5" s="105" customFormat="1" ht="21">
      <c r="A18" s="889"/>
      <c r="B18" s="178" t="s">
        <v>1257</v>
      </c>
      <c r="C18" s="891">
        <f>100*50</f>
        <v>5000</v>
      </c>
    </row>
    <row r="19" spans="1:5" s="105" customFormat="1" ht="21">
      <c r="A19" s="889"/>
      <c r="B19" s="178" t="s">
        <v>1258</v>
      </c>
      <c r="C19" s="891">
        <f>5000</f>
        <v>5000</v>
      </c>
    </row>
    <row r="20" spans="1:5" s="101" customFormat="1" ht="23.25" customHeight="1">
      <c r="A20" s="892">
        <v>1.3</v>
      </c>
      <c r="B20" s="1163" t="s">
        <v>1907</v>
      </c>
      <c r="C20" s="896">
        <f>C21+C22+C23+C24+C25</f>
        <v>52200</v>
      </c>
      <c r="E20" s="114"/>
    </row>
    <row r="21" spans="1:5" s="101" customFormat="1" ht="23.25" customHeight="1">
      <c r="A21" s="892"/>
      <c r="B21" s="112" t="s">
        <v>1255</v>
      </c>
      <c r="C21" s="897">
        <f>600*50</f>
        <v>30000</v>
      </c>
      <c r="E21" s="114"/>
    </row>
    <row r="22" spans="1:5" s="101" customFormat="1" ht="23.25" customHeight="1">
      <c r="A22" s="892"/>
      <c r="B22" s="112" t="s">
        <v>1256</v>
      </c>
      <c r="C22" s="897">
        <f>50*2*50</f>
        <v>5000</v>
      </c>
      <c r="E22" s="114"/>
    </row>
    <row r="23" spans="1:5" s="101" customFormat="1" ht="23.25" customHeight="1">
      <c r="A23" s="892"/>
      <c r="B23" s="112" t="s">
        <v>1257</v>
      </c>
      <c r="C23" s="897">
        <f>100*50</f>
        <v>5000</v>
      </c>
      <c r="E23" s="114"/>
    </row>
    <row r="24" spans="1:5" s="101" customFormat="1" ht="23.25" customHeight="1">
      <c r="A24" s="892"/>
      <c r="B24" s="112" t="s">
        <v>1258</v>
      </c>
      <c r="C24" s="897">
        <f>5000</f>
        <v>5000</v>
      </c>
      <c r="E24" s="114"/>
    </row>
    <row r="25" spans="1:5" s="101" customFormat="1" ht="23.25" customHeight="1">
      <c r="A25" s="892"/>
      <c r="B25" s="112" t="s">
        <v>1259</v>
      </c>
      <c r="C25" s="897">
        <f>2*3*1200</f>
        <v>7200</v>
      </c>
      <c r="E25" s="114"/>
    </row>
    <row r="26" spans="1:5" s="101" customFormat="1" ht="23.25" customHeight="1">
      <c r="A26" s="892">
        <v>1.4</v>
      </c>
      <c r="B26" s="1163" t="s">
        <v>1260</v>
      </c>
      <c r="C26" s="896">
        <f>300*150</f>
        <v>45000</v>
      </c>
      <c r="E26" s="114"/>
    </row>
    <row r="27" spans="1:5" s="101" customFormat="1" ht="23.25" customHeight="1">
      <c r="A27" s="892">
        <v>1.5</v>
      </c>
      <c r="B27" s="1163" t="s">
        <v>1261</v>
      </c>
      <c r="C27" s="896">
        <f>120000</f>
        <v>120000</v>
      </c>
      <c r="E27" s="114"/>
    </row>
    <row r="28" spans="1:5" s="101" customFormat="1" ht="23.25" customHeight="1">
      <c r="A28" s="892">
        <v>1.6</v>
      </c>
      <c r="B28" s="894" t="s">
        <v>1249</v>
      </c>
      <c r="C28" s="896">
        <f>40000</f>
        <v>40000</v>
      </c>
      <c r="E28" s="114"/>
    </row>
    <row r="29" spans="1:5" s="101" customFormat="1" ht="23.25" customHeight="1">
      <c r="A29" s="892">
        <v>1.7</v>
      </c>
      <c r="B29" s="1163" t="s">
        <v>1244</v>
      </c>
      <c r="C29" s="896">
        <f>C30+C31+C32+C33</f>
        <v>45000</v>
      </c>
      <c r="E29" s="114"/>
    </row>
    <row r="30" spans="1:5" s="101" customFormat="1" ht="23.25" customHeight="1">
      <c r="A30" s="892"/>
      <c r="B30" s="112" t="s">
        <v>1262</v>
      </c>
      <c r="C30" s="897">
        <f>10*500</f>
        <v>5000</v>
      </c>
      <c r="E30" s="114"/>
    </row>
    <row r="31" spans="1:5" s="101" customFormat="1" ht="23.25" customHeight="1">
      <c r="A31" s="892"/>
      <c r="B31" s="112" t="s">
        <v>1246</v>
      </c>
      <c r="C31" s="897">
        <f t="shared" ref="C31:C32" si="0">10*800</f>
        <v>8000</v>
      </c>
      <c r="E31" s="114"/>
    </row>
    <row r="32" spans="1:5" s="101" customFormat="1" ht="23.25" customHeight="1">
      <c r="A32" s="892"/>
      <c r="B32" s="112" t="s">
        <v>1247</v>
      </c>
      <c r="C32" s="897">
        <f t="shared" si="0"/>
        <v>8000</v>
      </c>
      <c r="E32" s="114"/>
    </row>
    <row r="33" spans="1:5" s="101" customFormat="1" ht="23.25" customHeight="1">
      <c r="A33" s="892"/>
      <c r="B33" s="112" t="s">
        <v>1248</v>
      </c>
      <c r="C33" s="897">
        <f>20*1200</f>
        <v>24000</v>
      </c>
      <c r="E33" s="114"/>
    </row>
    <row r="34" spans="1:5" s="101" customFormat="1" ht="23.25" customHeight="1">
      <c r="A34" s="892">
        <v>1.8</v>
      </c>
      <c r="B34" s="116" t="s">
        <v>1263</v>
      </c>
      <c r="C34" s="1369">
        <f>250000</f>
        <v>250000</v>
      </c>
      <c r="E34" s="114"/>
    </row>
    <row r="35" spans="1:5" s="101" customFormat="1" ht="23.25" customHeight="1">
      <c r="A35" s="892"/>
      <c r="B35" s="112" t="s">
        <v>1264</v>
      </c>
      <c r="C35" s="1370"/>
      <c r="E35" s="114"/>
    </row>
    <row r="36" spans="1:5" s="101" customFormat="1" ht="23.25" customHeight="1">
      <c r="A36" s="892"/>
      <c r="B36" s="112" t="s">
        <v>1265</v>
      </c>
      <c r="C36" s="1370"/>
      <c r="E36" s="114"/>
    </row>
    <row r="37" spans="1:5" s="101" customFormat="1" ht="23.25" customHeight="1">
      <c r="A37" s="892"/>
      <c r="B37" s="112" t="s">
        <v>1266</v>
      </c>
      <c r="C37" s="1370"/>
      <c r="E37" s="114"/>
    </row>
    <row r="38" spans="1:5" s="101" customFormat="1" ht="23.25" customHeight="1">
      <c r="A38" s="892"/>
      <c r="B38" s="112" t="s">
        <v>1267</v>
      </c>
      <c r="C38" s="1370"/>
      <c r="E38" s="114"/>
    </row>
    <row r="39" spans="1:5" s="101" customFormat="1" ht="23.25" customHeight="1">
      <c r="A39" s="892"/>
      <c r="B39" s="112" t="s">
        <v>1268</v>
      </c>
      <c r="C39" s="1371"/>
      <c r="E39" s="114"/>
    </row>
    <row r="40" spans="1:5" s="101" customFormat="1" ht="23.25" customHeight="1">
      <c r="A40" s="892">
        <v>1.9</v>
      </c>
      <c r="B40" s="116" t="s">
        <v>1900</v>
      </c>
      <c r="C40" s="896">
        <f>C41+C42+C43+C44</f>
        <v>650000</v>
      </c>
      <c r="E40" s="114"/>
    </row>
    <row r="41" spans="1:5" s="101" customFormat="1" ht="23.25" customHeight="1">
      <c r="A41" s="892"/>
      <c r="B41" s="112" t="s">
        <v>1269</v>
      </c>
      <c r="C41" s="897">
        <f>150000*1</f>
        <v>150000</v>
      </c>
      <c r="E41" s="114"/>
    </row>
    <row r="42" spans="1:5" s="101" customFormat="1" ht="23.25" customHeight="1">
      <c r="A42" s="892"/>
      <c r="B42" s="112" t="s">
        <v>1270</v>
      </c>
      <c r="C42" s="897">
        <f>50000*1</f>
        <v>50000</v>
      </c>
      <c r="E42" s="114"/>
    </row>
    <row r="43" spans="1:5" s="101" customFormat="1" ht="23.25" customHeight="1">
      <c r="A43" s="892"/>
      <c r="B43" s="112" t="s">
        <v>1271</v>
      </c>
      <c r="C43" s="897">
        <f>100000*1</f>
        <v>100000</v>
      </c>
      <c r="E43" s="114"/>
    </row>
    <row r="44" spans="1:5" s="101" customFormat="1" ht="23.25" customHeight="1">
      <c r="A44" s="892"/>
      <c r="B44" s="112" t="s">
        <v>1272</v>
      </c>
      <c r="C44" s="897">
        <f>350000*1</f>
        <v>350000</v>
      </c>
      <c r="E44" s="114"/>
    </row>
    <row r="45" spans="1:5" s="101" customFormat="1" ht="23.25" customHeight="1">
      <c r="A45" s="892">
        <v>1.1000000000000001</v>
      </c>
      <c r="B45" s="116" t="s">
        <v>1060</v>
      </c>
      <c r="C45" s="896">
        <f>2800</f>
        <v>2800</v>
      </c>
      <c r="E45" s="114"/>
    </row>
    <row r="46" spans="1:5" s="101" customFormat="1" ht="23.25" customHeight="1" thickBot="1">
      <c r="A46" s="110"/>
      <c r="B46" s="112"/>
      <c r="C46" s="113"/>
      <c r="E46" s="114"/>
    </row>
    <row r="47" spans="1:5" ht="21">
      <c r="A47" s="130"/>
      <c r="B47" s="131" t="s">
        <v>4</v>
      </c>
      <c r="C47" s="132">
        <f>C7+C15+C20+C26+C27+C28+C29+C34+C40+C45</f>
        <v>3500000</v>
      </c>
    </row>
    <row r="48" spans="1:5">
      <c r="A48" s="133"/>
      <c r="B48" s="134" t="str">
        <f>BAHTTEXT(C47)</f>
        <v>สามล้านห้าแสนบาทถ้วน</v>
      </c>
      <c r="C48" s="135"/>
    </row>
    <row r="49" spans="1:3" ht="19.5" thickBot="1">
      <c r="A49" s="136"/>
      <c r="B49" s="137"/>
      <c r="C49" s="138"/>
    </row>
    <row r="50" spans="1:3">
      <c r="B50" s="97"/>
      <c r="C50" s="139"/>
    </row>
    <row r="51" spans="1:3">
      <c r="C51" s="139"/>
    </row>
  </sheetData>
  <mergeCells count="3">
    <mergeCell ref="A1:C1"/>
    <mergeCell ref="A2:C2"/>
    <mergeCell ref="C34:C3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47"/>
  <sheetViews>
    <sheetView workbookViewId="0">
      <selection sqref="A1:C1"/>
    </sheetView>
  </sheetViews>
  <sheetFormatPr defaultColWidth="9" defaultRowHeight="18.75"/>
  <cols>
    <col min="1" max="1" width="5.375" style="836" customWidth="1"/>
    <col min="2" max="2" width="106.25" style="94" bestFit="1" customWidth="1"/>
    <col min="3" max="3" width="15.25" style="140" bestFit="1" customWidth="1"/>
    <col min="4" max="16384" width="9" style="94"/>
  </cols>
  <sheetData>
    <row r="1" spans="1:4" ht="21">
      <c r="A1" s="1367" t="s">
        <v>1105</v>
      </c>
      <c r="B1" s="1367"/>
      <c r="C1" s="1367"/>
    </row>
    <row r="2" spans="1:4" ht="21">
      <c r="A2" s="1368" t="s">
        <v>1273</v>
      </c>
      <c r="B2" s="1368"/>
      <c r="C2" s="1368"/>
    </row>
    <row r="3" spans="1:4" ht="21.75" thickBot="1">
      <c r="A3" s="867"/>
      <c r="B3" s="867"/>
      <c r="C3" s="868"/>
    </row>
    <row r="4" spans="1:4" s="836" customFormat="1" ht="21">
      <c r="A4" s="878"/>
      <c r="B4" s="878" t="s">
        <v>0</v>
      </c>
      <c r="C4" s="879" t="s">
        <v>1</v>
      </c>
    </row>
    <row r="5" spans="1:4" ht="21.75" thickBot="1">
      <c r="A5" s="880"/>
      <c r="B5" s="881"/>
      <c r="C5" s="882" t="s">
        <v>2</v>
      </c>
    </row>
    <row r="6" spans="1:4" ht="21.75" thickBot="1">
      <c r="A6" s="883">
        <v>1</v>
      </c>
      <c r="B6" s="884" t="s">
        <v>1274</v>
      </c>
      <c r="C6" s="885">
        <f>C7+C16+C20+C24+C31+C36+C37+C41+C40</f>
        <v>7500000</v>
      </c>
      <c r="D6" s="97"/>
    </row>
    <row r="7" spans="1:4" s="101" customFormat="1" ht="21">
      <c r="A7" s="886">
        <v>1.1000000000000001</v>
      </c>
      <c r="B7" s="887" t="str">
        <f>'[1]4.2 ขึ้นทะเบียน '!B1</f>
        <v>บุคลากร</v>
      </c>
      <c r="C7" s="888">
        <f>C8+C9+C10+C11+C12+C13+C14</f>
        <v>3998000</v>
      </c>
    </row>
    <row r="8" spans="1:4" s="105" customFormat="1" ht="21">
      <c r="A8" s="889"/>
      <c r="B8" s="890" t="s">
        <v>1770</v>
      </c>
      <c r="C8" s="891">
        <f>1*80000*7</f>
        <v>560000</v>
      </c>
    </row>
    <row r="9" spans="1:4" s="105" customFormat="1" ht="21">
      <c r="A9" s="889"/>
      <c r="B9" s="890" t="s">
        <v>1771</v>
      </c>
      <c r="C9" s="891">
        <f>2*60000*7</f>
        <v>840000</v>
      </c>
    </row>
    <row r="10" spans="1:4" s="105" customFormat="1" ht="21">
      <c r="A10" s="889"/>
      <c r="B10" s="890" t="s">
        <v>1772</v>
      </c>
      <c r="C10" s="891">
        <f>2*60000*7</f>
        <v>840000</v>
      </c>
    </row>
    <row r="11" spans="1:4" s="105" customFormat="1" ht="21">
      <c r="A11" s="889"/>
      <c r="B11" s="890" t="s">
        <v>1773</v>
      </c>
      <c r="C11" s="891">
        <f>1*60000*7</f>
        <v>420000</v>
      </c>
    </row>
    <row r="12" spans="1:4" s="105" customFormat="1" ht="21">
      <c r="A12" s="889"/>
      <c r="B12" s="890" t="s">
        <v>1774</v>
      </c>
      <c r="C12" s="891">
        <f>1*60000*7</f>
        <v>420000</v>
      </c>
    </row>
    <row r="13" spans="1:4" s="105" customFormat="1" ht="21">
      <c r="A13" s="889"/>
      <c r="B13" s="890" t="s">
        <v>1775</v>
      </c>
      <c r="C13" s="891">
        <f>4*18000*9</f>
        <v>648000</v>
      </c>
    </row>
    <row r="14" spans="1:4" s="101" customFormat="1" ht="21">
      <c r="A14" s="892"/>
      <c r="B14" s="893" t="s">
        <v>1776</v>
      </c>
      <c r="C14" s="891">
        <f>2*15000*9</f>
        <v>270000</v>
      </c>
    </row>
    <row r="15" spans="1:4" s="101" customFormat="1" ht="21">
      <c r="A15" s="894" t="s">
        <v>98</v>
      </c>
      <c r="B15" s="895"/>
      <c r="C15" s="104"/>
    </row>
    <row r="16" spans="1:4" s="101" customFormat="1" ht="21">
      <c r="A16" s="892">
        <v>1.2</v>
      </c>
      <c r="B16" s="111" t="s">
        <v>1230</v>
      </c>
      <c r="C16" s="896">
        <f>C17+C18+C19</f>
        <v>80000</v>
      </c>
    </row>
    <row r="17" spans="1:5" s="105" customFormat="1" ht="21">
      <c r="A17" s="889"/>
      <c r="B17" s="178" t="s">
        <v>1275</v>
      </c>
      <c r="C17" s="891">
        <f>600*100</f>
        <v>60000</v>
      </c>
    </row>
    <row r="18" spans="1:5" s="105" customFormat="1" ht="21">
      <c r="A18" s="889"/>
      <c r="B18" s="178" t="s">
        <v>1276</v>
      </c>
      <c r="C18" s="891">
        <f>50*2*100</f>
        <v>10000</v>
      </c>
    </row>
    <row r="19" spans="1:5" s="105" customFormat="1" ht="21">
      <c r="A19" s="889"/>
      <c r="B19" s="178" t="s">
        <v>1277</v>
      </c>
      <c r="C19" s="891">
        <f>100*100</f>
        <v>10000</v>
      </c>
    </row>
    <row r="20" spans="1:5" s="101" customFormat="1" ht="23.25" customHeight="1">
      <c r="A20" s="892">
        <v>1.3</v>
      </c>
      <c r="B20" s="116" t="s">
        <v>1234</v>
      </c>
      <c r="C20" s="896">
        <f>C21+C22+C23</f>
        <v>1200000</v>
      </c>
      <c r="E20" s="114"/>
    </row>
    <row r="21" spans="1:5" s="101" customFormat="1" ht="23.25" customHeight="1">
      <c r="A21" s="892"/>
      <c r="B21" s="112" t="s">
        <v>1278</v>
      </c>
      <c r="C21" s="897">
        <f>1*4*20*5*1000</f>
        <v>400000</v>
      </c>
      <c r="E21" s="114"/>
    </row>
    <row r="22" spans="1:5" s="101" customFormat="1" ht="23.25" customHeight="1">
      <c r="A22" s="892"/>
      <c r="B22" s="112" t="s">
        <v>1279</v>
      </c>
      <c r="C22" s="897">
        <f>300*2*4*20*5</f>
        <v>240000</v>
      </c>
      <c r="E22" s="114"/>
    </row>
    <row r="23" spans="1:5" s="101" customFormat="1" ht="23.25" customHeight="1">
      <c r="A23" s="892"/>
      <c r="B23" s="112" t="s">
        <v>1280</v>
      </c>
      <c r="C23" s="897">
        <f>2*4*20*3500</f>
        <v>560000</v>
      </c>
      <c r="E23" s="114"/>
    </row>
    <row r="24" spans="1:5" s="101" customFormat="1" ht="23.25" customHeight="1">
      <c r="A24" s="892">
        <v>1.4</v>
      </c>
      <c r="B24" s="116" t="s">
        <v>1253</v>
      </c>
      <c r="C24" s="896">
        <f>C25+C26+C27+C28+C29+C30</f>
        <v>880000</v>
      </c>
      <c r="E24" s="114"/>
    </row>
    <row r="25" spans="1:5" s="101" customFormat="1" ht="23.25" customHeight="1">
      <c r="A25" s="892"/>
      <c r="B25" s="112" t="s">
        <v>1281</v>
      </c>
      <c r="C25" s="897">
        <f>600*125</f>
        <v>75000</v>
      </c>
      <c r="E25" s="114"/>
    </row>
    <row r="26" spans="1:5" s="101" customFormat="1" ht="23.25" customHeight="1">
      <c r="A26" s="892"/>
      <c r="B26" s="112" t="s">
        <v>1282</v>
      </c>
      <c r="C26" s="897">
        <f>100*125</f>
        <v>12500</v>
      </c>
      <c r="E26" s="114"/>
    </row>
    <row r="27" spans="1:5" s="101" customFormat="1" ht="23.25" customHeight="1">
      <c r="A27" s="892"/>
      <c r="B27" s="112" t="s">
        <v>1283</v>
      </c>
      <c r="C27" s="897">
        <f>100*125</f>
        <v>12500</v>
      </c>
      <c r="E27" s="114"/>
    </row>
    <row r="28" spans="1:5" s="101" customFormat="1" ht="23.25" customHeight="1">
      <c r="A28" s="892"/>
      <c r="B28" s="112" t="s">
        <v>1284</v>
      </c>
      <c r="C28" s="897">
        <f>40*2000</f>
        <v>80000</v>
      </c>
      <c r="E28" s="114"/>
    </row>
    <row r="29" spans="1:5" s="101" customFormat="1" ht="23.25" customHeight="1">
      <c r="A29" s="892"/>
      <c r="B29" s="112" t="s">
        <v>1285</v>
      </c>
      <c r="C29" s="897">
        <f>350*1000</f>
        <v>350000</v>
      </c>
      <c r="E29" s="114"/>
    </row>
    <row r="30" spans="1:5" s="101" customFormat="1" ht="23.25" customHeight="1">
      <c r="A30" s="892"/>
      <c r="B30" s="112" t="s">
        <v>1286</v>
      </c>
      <c r="C30" s="897">
        <f>350*1000</f>
        <v>350000</v>
      </c>
      <c r="E30" s="114"/>
    </row>
    <row r="31" spans="1:5" s="101" customFormat="1" ht="22.9" customHeight="1">
      <c r="A31" s="892">
        <v>1.5</v>
      </c>
      <c r="B31" s="116" t="s">
        <v>1244</v>
      </c>
      <c r="C31" s="896">
        <f>C32+C33+C34+C35</f>
        <v>50000</v>
      </c>
      <c r="E31" s="114"/>
    </row>
    <row r="32" spans="1:5" s="101" customFormat="1" ht="23.25" customHeight="1">
      <c r="A32" s="892"/>
      <c r="B32" s="112" t="s">
        <v>1245</v>
      </c>
      <c r="C32" s="897">
        <f>10*800</f>
        <v>8000</v>
      </c>
      <c r="E32" s="114"/>
    </row>
    <row r="33" spans="1:5" s="101" customFormat="1" ht="23.25" customHeight="1">
      <c r="A33" s="892"/>
      <c r="B33" s="112" t="s">
        <v>1246</v>
      </c>
      <c r="C33" s="897">
        <f t="shared" ref="C33:C34" si="0">10*800</f>
        <v>8000</v>
      </c>
      <c r="E33" s="114"/>
    </row>
    <row r="34" spans="1:5" s="101" customFormat="1" ht="23.25" customHeight="1">
      <c r="A34" s="892"/>
      <c r="B34" s="112" t="s">
        <v>1247</v>
      </c>
      <c r="C34" s="897">
        <f t="shared" si="0"/>
        <v>8000</v>
      </c>
      <c r="E34" s="114"/>
    </row>
    <row r="35" spans="1:5" s="101" customFormat="1" ht="23.25" customHeight="1">
      <c r="A35" s="892"/>
      <c r="B35" s="112" t="s">
        <v>1287</v>
      </c>
      <c r="C35" s="897">
        <f>20*1300</f>
        <v>26000</v>
      </c>
      <c r="E35" s="114"/>
    </row>
    <row r="36" spans="1:5" s="101" customFormat="1" ht="23.25" customHeight="1">
      <c r="A36" s="892">
        <v>1.6</v>
      </c>
      <c r="B36" s="901" t="s">
        <v>1249</v>
      </c>
      <c r="C36" s="896">
        <f>50000</f>
        <v>50000</v>
      </c>
      <c r="E36" s="114"/>
    </row>
    <row r="37" spans="1:5" s="101" customFormat="1" ht="23.25" customHeight="1">
      <c r="A37" s="892">
        <v>1.7</v>
      </c>
      <c r="B37" s="116" t="s">
        <v>1288</v>
      </c>
      <c r="C37" s="896">
        <f>C38+C39</f>
        <v>400000</v>
      </c>
      <c r="E37" s="114"/>
    </row>
    <row r="38" spans="1:5" s="101" customFormat="1" ht="23.25" customHeight="1">
      <c r="A38" s="892"/>
      <c r="B38" s="112" t="s">
        <v>1289</v>
      </c>
      <c r="C38" s="897">
        <f>400*500</f>
        <v>200000</v>
      </c>
      <c r="E38" s="114"/>
    </row>
    <row r="39" spans="1:5" s="101" customFormat="1" ht="23.25" customHeight="1">
      <c r="A39" s="892"/>
      <c r="B39" s="112" t="s">
        <v>1290</v>
      </c>
      <c r="C39" s="897">
        <f>400*500</f>
        <v>200000</v>
      </c>
      <c r="E39" s="114"/>
    </row>
    <row r="40" spans="1:5" s="101" customFormat="1" ht="23.25" customHeight="1">
      <c r="A40" s="892">
        <v>1.8</v>
      </c>
      <c r="B40" s="116" t="s">
        <v>1291</v>
      </c>
      <c r="C40" s="896">
        <f>20*42000</f>
        <v>840000</v>
      </c>
      <c r="E40" s="114"/>
    </row>
    <row r="41" spans="1:5" s="101" customFormat="1" ht="23.25" customHeight="1">
      <c r="A41" s="892">
        <v>1.9</v>
      </c>
      <c r="B41" s="116" t="s">
        <v>1060</v>
      </c>
      <c r="C41" s="896">
        <f>2000</f>
        <v>2000</v>
      </c>
      <c r="E41" s="114"/>
    </row>
    <row r="42" spans="1:5" s="101" customFormat="1" ht="23.25" customHeight="1" thickBot="1">
      <c r="A42" s="110"/>
      <c r="B42" s="112"/>
      <c r="C42" s="113"/>
      <c r="E42" s="114"/>
    </row>
    <row r="43" spans="1:5" ht="21">
      <c r="A43" s="130"/>
      <c r="B43" s="131" t="s">
        <v>4</v>
      </c>
      <c r="C43" s="132">
        <f>C7+C16+C20+C24+C31+C36+C37+C40+C41</f>
        <v>7500000</v>
      </c>
    </row>
    <row r="44" spans="1:5">
      <c r="A44" s="133"/>
      <c r="B44" s="134" t="str">
        <f>BAHTTEXT(C43)</f>
        <v>เจ็ดล้านห้าแสนบาทถ้วน</v>
      </c>
      <c r="C44" s="135"/>
    </row>
    <row r="45" spans="1:5" ht="19.5" thickBot="1">
      <c r="A45" s="136"/>
      <c r="B45" s="137"/>
      <c r="C45" s="138"/>
    </row>
    <row r="46" spans="1:5">
      <c r="B46" s="97"/>
      <c r="C46" s="139"/>
    </row>
    <row r="47" spans="1:5">
      <c r="C47" s="139"/>
    </row>
  </sheetData>
  <mergeCells count="2">
    <mergeCell ref="A1:C1"/>
    <mergeCell ref="A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57"/>
  <sheetViews>
    <sheetView workbookViewId="0"/>
  </sheetViews>
  <sheetFormatPr defaultColWidth="9.125" defaultRowHeight="21"/>
  <cols>
    <col min="1" max="1" width="5.875" style="904" customWidth="1"/>
    <col min="2" max="2" width="82.125" style="905" customWidth="1"/>
    <col min="3" max="3" width="15.375" style="929" customWidth="1"/>
    <col min="4" max="16384" width="9.125" style="905"/>
  </cols>
  <sheetData>
    <row r="1" spans="1:9">
      <c r="A1" s="902" t="s">
        <v>1105</v>
      </c>
      <c r="B1" s="902"/>
      <c r="C1" s="903"/>
      <c r="D1" s="904"/>
      <c r="E1" s="904"/>
      <c r="F1" s="904"/>
      <c r="G1" s="904"/>
      <c r="H1" s="904"/>
      <c r="I1" s="904"/>
    </row>
    <row r="2" spans="1:9">
      <c r="A2" s="902" t="s">
        <v>1292</v>
      </c>
      <c r="B2" s="902"/>
      <c r="C2" s="903"/>
      <c r="D2" s="904"/>
      <c r="E2" s="904"/>
      <c r="F2" s="904"/>
      <c r="G2" s="904"/>
      <c r="H2" s="904"/>
      <c r="I2" s="904"/>
    </row>
    <row r="3" spans="1:9" ht="10.5" customHeight="1">
      <c r="B3" s="904"/>
      <c r="C3" s="903"/>
      <c r="D3" s="904"/>
      <c r="E3" s="904"/>
      <c r="F3" s="904"/>
      <c r="G3" s="904"/>
      <c r="H3" s="904"/>
      <c r="I3" s="904"/>
    </row>
    <row r="4" spans="1:9">
      <c r="A4" s="906"/>
      <c r="B4" s="907" t="s">
        <v>0</v>
      </c>
      <c r="C4" s="908" t="s">
        <v>1</v>
      </c>
      <c r="D4" s="904"/>
      <c r="E4" s="904"/>
      <c r="F4" s="904"/>
      <c r="G4" s="904"/>
      <c r="H4" s="904"/>
      <c r="I4" s="904"/>
    </row>
    <row r="5" spans="1:9" ht="21" customHeight="1">
      <c r="A5" s="909"/>
      <c r="B5" s="910" t="s">
        <v>1293</v>
      </c>
      <c r="C5" s="911" t="s">
        <v>2</v>
      </c>
      <c r="D5" s="904"/>
      <c r="E5" s="904"/>
      <c r="F5" s="904"/>
      <c r="G5" s="904"/>
      <c r="H5" s="904"/>
      <c r="I5" s="904"/>
    </row>
    <row r="6" spans="1:9">
      <c r="A6" s="912">
        <v>1.1000000000000001</v>
      </c>
      <c r="B6" s="913" t="s">
        <v>3</v>
      </c>
      <c r="C6" s="914">
        <f>SUM(C7:C12)</f>
        <v>2500000</v>
      </c>
    </row>
    <row r="7" spans="1:9" ht="45" customHeight="1">
      <c r="A7" s="915"/>
      <c r="B7" s="1161" t="s">
        <v>1777</v>
      </c>
      <c r="C7" s="917">
        <v>420000</v>
      </c>
    </row>
    <row r="8" spans="1:9" ht="39" customHeight="1">
      <c r="A8" s="918"/>
      <c r="B8" s="1160" t="s">
        <v>1778</v>
      </c>
      <c r="C8" s="917">
        <v>280000</v>
      </c>
    </row>
    <row r="9" spans="1:9" ht="40.5" customHeight="1">
      <c r="A9" s="918"/>
      <c r="B9" s="1160" t="s">
        <v>1779</v>
      </c>
      <c r="C9" s="917">
        <v>280000</v>
      </c>
    </row>
    <row r="10" spans="1:9" ht="21" customHeight="1">
      <c r="A10" s="918"/>
      <c r="B10" s="1160" t="s">
        <v>1780</v>
      </c>
      <c r="C10" s="917">
        <v>280000</v>
      </c>
    </row>
    <row r="11" spans="1:9" ht="21" customHeight="1">
      <c r="A11" s="918"/>
      <c r="B11" s="1160" t="s">
        <v>1781</v>
      </c>
      <c r="C11" s="917">
        <v>1120000</v>
      </c>
    </row>
    <row r="12" spans="1:9" ht="21" customHeight="1">
      <c r="A12" s="918"/>
      <c r="B12" s="916" t="s">
        <v>1782</v>
      </c>
      <c r="C12" s="917">
        <v>120000</v>
      </c>
    </row>
    <row r="13" spans="1:9" ht="21" customHeight="1">
      <c r="A13" s="912">
        <v>1.2</v>
      </c>
      <c r="B13" s="919" t="s">
        <v>1051</v>
      </c>
      <c r="C13" s="914">
        <f>SUM(C14)</f>
        <v>135000</v>
      </c>
    </row>
    <row r="14" spans="1:9" ht="21" customHeight="1">
      <c r="A14" s="918"/>
      <c r="B14" s="916" t="s">
        <v>1294</v>
      </c>
      <c r="C14" s="917">
        <v>135000</v>
      </c>
    </row>
    <row r="15" spans="1:9" ht="21" customHeight="1">
      <c r="A15" s="912">
        <v>1.3</v>
      </c>
      <c r="B15" s="919" t="s">
        <v>1295</v>
      </c>
      <c r="C15" s="914">
        <f>SUM(C16:C22)</f>
        <v>108200</v>
      </c>
    </row>
    <row r="16" spans="1:9" ht="21" customHeight="1">
      <c r="A16" s="918"/>
      <c r="B16" s="920" t="s">
        <v>1296</v>
      </c>
      <c r="C16" s="917">
        <v>64800</v>
      </c>
    </row>
    <row r="17" spans="1:3" ht="21" customHeight="1">
      <c r="A17" s="918"/>
      <c r="B17" s="920" t="s">
        <v>1297</v>
      </c>
      <c r="C17" s="917">
        <v>10000</v>
      </c>
    </row>
    <row r="18" spans="1:3" ht="21" customHeight="1">
      <c r="A18" s="918"/>
      <c r="B18" s="920" t="s">
        <v>1298</v>
      </c>
      <c r="C18" s="917">
        <v>10000</v>
      </c>
    </row>
    <row r="19" spans="1:3" ht="21" customHeight="1">
      <c r="A19" s="918"/>
      <c r="B19" s="920" t="s">
        <v>1299</v>
      </c>
      <c r="C19" s="917">
        <v>4500</v>
      </c>
    </row>
    <row r="20" spans="1:3" ht="21" customHeight="1">
      <c r="A20" s="918"/>
      <c r="B20" s="920" t="s">
        <v>1300</v>
      </c>
      <c r="C20" s="917">
        <v>1500</v>
      </c>
    </row>
    <row r="21" spans="1:3" ht="21" customHeight="1">
      <c r="A21" s="918"/>
      <c r="B21" s="920" t="s">
        <v>1301</v>
      </c>
      <c r="C21" s="917">
        <v>14400</v>
      </c>
    </row>
    <row r="22" spans="1:3" ht="21" customHeight="1">
      <c r="A22" s="918"/>
      <c r="B22" s="920" t="s">
        <v>1302</v>
      </c>
      <c r="C22" s="917">
        <v>3000</v>
      </c>
    </row>
    <row r="23" spans="1:3" ht="21" customHeight="1">
      <c r="A23" s="912">
        <v>1.4</v>
      </c>
      <c r="B23" s="921" t="s">
        <v>1303</v>
      </c>
      <c r="C23" s="914">
        <f>SUM(C24:C26)</f>
        <v>75000</v>
      </c>
    </row>
    <row r="24" spans="1:3" ht="21" customHeight="1">
      <c r="A24" s="918"/>
      <c r="B24" s="920" t="s">
        <v>1304</v>
      </c>
      <c r="C24" s="917">
        <v>10000</v>
      </c>
    </row>
    <row r="25" spans="1:3" ht="21" customHeight="1">
      <c r="A25" s="918"/>
      <c r="B25" s="920" t="s">
        <v>1305</v>
      </c>
      <c r="C25" s="917">
        <v>35000</v>
      </c>
    </row>
    <row r="26" spans="1:3" ht="21" customHeight="1">
      <c r="A26" s="918"/>
      <c r="B26" s="920" t="s">
        <v>1306</v>
      </c>
      <c r="C26" s="917">
        <v>30000</v>
      </c>
    </row>
    <row r="27" spans="1:3" ht="21" customHeight="1">
      <c r="A27" s="912">
        <v>1.5</v>
      </c>
      <c r="B27" s="921" t="s">
        <v>1307</v>
      </c>
      <c r="C27" s="914">
        <f>SUM(C28:C33)</f>
        <v>1610000</v>
      </c>
    </row>
    <row r="28" spans="1:3" ht="21" customHeight="1">
      <c r="A28" s="918"/>
      <c r="B28" s="920" t="s">
        <v>1308</v>
      </c>
      <c r="C28" s="917">
        <v>135000</v>
      </c>
    </row>
    <row r="29" spans="1:3" ht="21" customHeight="1">
      <c r="A29" s="918"/>
      <c r="B29" s="920" t="s">
        <v>1309</v>
      </c>
      <c r="C29" s="917">
        <v>132000</v>
      </c>
    </row>
    <row r="30" spans="1:3" ht="21" customHeight="1">
      <c r="A30" s="918"/>
      <c r="B30" s="920" t="s">
        <v>1310</v>
      </c>
      <c r="C30" s="917">
        <v>120000</v>
      </c>
    </row>
    <row r="31" spans="1:3" ht="21" customHeight="1">
      <c r="A31" s="918"/>
      <c r="B31" s="920" t="s">
        <v>1311</v>
      </c>
      <c r="C31" s="917">
        <v>3000</v>
      </c>
    </row>
    <row r="32" spans="1:3" ht="21" customHeight="1">
      <c r="A32" s="918"/>
      <c r="B32" s="920" t="s">
        <v>1312</v>
      </c>
      <c r="C32" s="917">
        <v>1200000</v>
      </c>
    </row>
    <row r="33" spans="1:3" ht="21" customHeight="1">
      <c r="A33" s="918"/>
      <c r="B33" s="920" t="s">
        <v>1302</v>
      </c>
      <c r="C33" s="917">
        <v>20000</v>
      </c>
    </row>
    <row r="34" spans="1:3" ht="21" customHeight="1">
      <c r="A34" s="912">
        <v>1.6</v>
      </c>
      <c r="B34" s="921" t="s">
        <v>1313</v>
      </c>
      <c r="C34" s="914">
        <f>SUM(C35:C41)</f>
        <v>228400</v>
      </c>
    </row>
    <row r="35" spans="1:3" ht="21" customHeight="1">
      <c r="A35" s="918"/>
      <c r="B35" s="920" t="s">
        <v>1314</v>
      </c>
      <c r="C35" s="917">
        <v>129600</v>
      </c>
    </row>
    <row r="36" spans="1:3" ht="21" customHeight="1">
      <c r="A36" s="918"/>
      <c r="B36" s="920" t="s">
        <v>1315</v>
      </c>
      <c r="C36" s="917">
        <v>20000</v>
      </c>
    </row>
    <row r="37" spans="1:3" ht="21" customHeight="1">
      <c r="A37" s="918"/>
      <c r="B37" s="920" t="s">
        <v>1316</v>
      </c>
      <c r="C37" s="917">
        <v>20000</v>
      </c>
    </row>
    <row r="38" spans="1:3" ht="21" customHeight="1">
      <c r="A38" s="918"/>
      <c r="B38" s="920" t="s">
        <v>1317</v>
      </c>
      <c r="C38" s="917">
        <v>18000</v>
      </c>
    </row>
    <row r="39" spans="1:3" ht="21" customHeight="1">
      <c r="A39" s="918"/>
      <c r="B39" s="920" t="s">
        <v>1318</v>
      </c>
      <c r="C39" s="917">
        <v>17600</v>
      </c>
    </row>
    <row r="40" spans="1:3" ht="21" customHeight="1">
      <c r="A40" s="918"/>
      <c r="B40" s="920" t="s">
        <v>1319</v>
      </c>
      <c r="C40" s="917">
        <v>7500</v>
      </c>
    </row>
    <row r="41" spans="1:3" ht="21" customHeight="1">
      <c r="A41" s="918"/>
      <c r="B41" s="920" t="s">
        <v>1302</v>
      </c>
      <c r="C41" s="917">
        <v>15700</v>
      </c>
    </row>
    <row r="42" spans="1:3" ht="21" customHeight="1">
      <c r="A42" s="912">
        <v>1.7</v>
      </c>
      <c r="B42" s="921" t="s">
        <v>1320</v>
      </c>
      <c r="C42" s="914">
        <f>SUM(C43:C49)</f>
        <v>217400</v>
      </c>
    </row>
    <row r="43" spans="1:3" ht="21" customHeight="1">
      <c r="A43" s="918"/>
      <c r="B43" s="920" t="s">
        <v>1321</v>
      </c>
      <c r="C43" s="917">
        <v>132000</v>
      </c>
    </row>
    <row r="44" spans="1:3" ht="21" customHeight="1">
      <c r="A44" s="918"/>
      <c r="B44" s="920" t="s">
        <v>1297</v>
      </c>
      <c r="C44" s="917">
        <v>10000</v>
      </c>
    </row>
    <row r="45" spans="1:3" ht="21" customHeight="1">
      <c r="A45" s="918"/>
      <c r="B45" s="920" t="s">
        <v>1322</v>
      </c>
      <c r="C45" s="917">
        <v>20000</v>
      </c>
    </row>
    <row r="46" spans="1:3" ht="21" customHeight="1">
      <c r="A46" s="918"/>
      <c r="B46" s="920" t="s">
        <v>1323</v>
      </c>
      <c r="C46" s="917">
        <v>9000</v>
      </c>
    </row>
    <row r="47" spans="1:3" ht="21" customHeight="1">
      <c r="A47" s="918"/>
      <c r="B47" s="920" t="s">
        <v>1324</v>
      </c>
      <c r="C47" s="917">
        <v>22000</v>
      </c>
    </row>
    <row r="48" spans="1:3" ht="21" customHeight="1">
      <c r="A48" s="918"/>
      <c r="B48" s="920" t="s">
        <v>1325</v>
      </c>
      <c r="C48" s="917">
        <v>10000</v>
      </c>
    </row>
    <row r="49" spans="1:3" ht="21" customHeight="1">
      <c r="A49" s="918"/>
      <c r="B49" s="920" t="s">
        <v>1301</v>
      </c>
      <c r="C49" s="917">
        <v>14400</v>
      </c>
    </row>
    <row r="50" spans="1:3" ht="21" customHeight="1">
      <c r="A50" s="912">
        <v>1.8</v>
      </c>
      <c r="B50" s="921" t="s">
        <v>1326</v>
      </c>
      <c r="C50" s="914">
        <f>SUM(C51:C53)</f>
        <v>126000</v>
      </c>
    </row>
    <row r="51" spans="1:3" ht="21" customHeight="1">
      <c r="A51" s="918"/>
      <c r="B51" s="920" t="s">
        <v>1327</v>
      </c>
      <c r="C51" s="917">
        <v>16000</v>
      </c>
    </row>
    <row r="52" spans="1:3" ht="21" customHeight="1">
      <c r="A52" s="918"/>
      <c r="B52" s="920" t="s">
        <v>1328</v>
      </c>
      <c r="C52" s="917">
        <v>10000</v>
      </c>
    </row>
    <row r="53" spans="1:3" ht="21" customHeight="1">
      <c r="A53" s="918"/>
      <c r="B53" s="920" t="s">
        <v>1329</v>
      </c>
      <c r="C53" s="917">
        <v>100000</v>
      </c>
    </row>
    <row r="54" spans="1:3">
      <c r="A54" s="918"/>
      <c r="B54" s="922"/>
      <c r="C54" s="923"/>
    </row>
    <row r="55" spans="1:3">
      <c r="A55" s="912"/>
      <c r="B55" s="924" t="s">
        <v>1330</v>
      </c>
      <c r="C55" s="914">
        <f>C6+C13+C15+C23+C34+C42+C50+C27</f>
        <v>5000000</v>
      </c>
    </row>
    <row r="56" spans="1:3">
      <c r="A56" s="925"/>
      <c r="B56" s="926" t="s">
        <v>1331</v>
      </c>
      <c r="C56" s="927"/>
    </row>
    <row r="57" spans="1:3">
      <c r="C57" s="92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L77"/>
  <sheetViews>
    <sheetView workbookViewId="0">
      <selection sqref="A1:H1"/>
    </sheetView>
  </sheetViews>
  <sheetFormatPr defaultColWidth="8.875" defaultRowHeight="18.75"/>
  <cols>
    <col min="1" max="1" width="10.75" style="1" customWidth="1"/>
    <col min="2" max="2" width="4.75" style="1" customWidth="1"/>
    <col min="3" max="3" width="40.75" style="1" customWidth="1"/>
    <col min="4" max="4" width="10.125" style="32" customWidth="1"/>
    <col min="5" max="5" width="6.875" style="33" customWidth="1"/>
    <col min="6" max="6" width="6.125" style="33" customWidth="1"/>
    <col min="7" max="7" width="4.625" style="33" customWidth="1"/>
    <col min="8" max="8" width="12.875" style="1" customWidth="1"/>
    <col min="9" max="9" width="8.875" style="1"/>
    <col min="10" max="10" width="13.25" style="1" customWidth="1"/>
    <col min="11" max="11" width="12.25" style="1" customWidth="1"/>
    <col min="12" max="255" width="8.875" style="1"/>
    <col min="256" max="256" width="15.75" style="1" customWidth="1"/>
    <col min="257" max="257" width="4.75" style="1" customWidth="1"/>
    <col min="258" max="258" width="53.25" style="1" customWidth="1"/>
    <col min="259" max="259" width="12.75" style="1" customWidth="1"/>
    <col min="260" max="260" width="7.875" style="1" customWidth="1"/>
    <col min="261" max="261" width="7.125" style="1" customWidth="1"/>
    <col min="262" max="262" width="5.75" style="1" customWidth="1"/>
    <col min="263" max="263" width="15.25" style="1" customWidth="1"/>
    <col min="264" max="264" width="23.375" style="1" customWidth="1"/>
    <col min="265" max="265" width="8.875" style="1"/>
    <col min="266" max="266" width="13.25" style="1" customWidth="1"/>
    <col min="267" max="267" width="12.25" style="1" customWidth="1"/>
    <col min="268" max="511" width="8.875" style="1"/>
    <col min="512" max="512" width="15.75" style="1" customWidth="1"/>
    <col min="513" max="513" width="4.75" style="1" customWidth="1"/>
    <col min="514" max="514" width="53.25" style="1" customWidth="1"/>
    <col min="515" max="515" width="12.75" style="1" customWidth="1"/>
    <col min="516" max="516" width="7.875" style="1" customWidth="1"/>
    <col min="517" max="517" width="7.125" style="1" customWidth="1"/>
    <col min="518" max="518" width="5.75" style="1" customWidth="1"/>
    <col min="519" max="519" width="15.25" style="1" customWidth="1"/>
    <col min="520" max="520" width="23.375" style="1" customWidth="1"/>
    <col min="521" max="521" width="8.875" style="1"/>
    <col min="522" max="522" width="13.25" style="1" customWidth="1"/>
    <col min="523" max="523" width="12.25" style="1" customWidth="1"/>
    <col min="524" max="767" width="8.875" style="1"/>
    <col min="768" max="768" width="15.75" style="1" customWidth="1"/>
    <col min="769" max="769" width="4.75" style="1" customWidth="1"/>
    <col min="770" max="770" width="53.25" style="1" customWidth="1"/>
    <col min="771" max="771" width="12.75" style="1" customWidth="1"/>
    <col min="772" max="772" width="7.875" style="1" customWidth="1"/>
    <col min="773" max="773" width="7.125" style="1" customWidth="1"/>
    <col min="774" max="774" width="5.75" style="1" customWidth="1"/>
    <col min="775" max="775" width="15.25" style="1" customWidth="1"/>
    <col min="776" max="776" width="23.375" style="1" customWidth="1"/>
    <col min="777" max="777" width="8.875" style="1"/>
    <col min="778" max="778" width="13.25" style="1" customWidth="1"/>
    <col min="779" max="779" width="12.25" style="1" customWidth="1"/>
    <col min="780" max="1023" width="8.875" style="1"/>
    <col min="1024" max="1024" width="15.75" style="1" customWidth="1"/>
    <col min="1025" max="1025" width="4.75" style="1" customWidth="1"/>
    <col min="1026" max="1026" width="53.25" style="1" customWidth="1"/>
    <col min="1027" max="1027" width="12.75" style="1" customWidth="1"/>
    <col min="1028" max="1028" width="7.875" style="1" customWidth="1"/>
    <col min="1029" max="1029" width="7.125" style="1" customWidth="1"/>
    <col min="1030" max="1030" width="5.75" style="1" customWidth="1"/>
    <col min="1031" max="1031" width="15.25" style="1" customWidth="1"/>
    <col min="1032" max="1032" width="23.375" style="1" customWidth="1"/>
    <col min="1033" max="1033" width="8.875" style="1"/>
    <col min="1034" max="1034" width="13.25" style="1" customWidth="1"/>
    <col min="1035" max="1035" width="12.25" style="1" customWidth="1"/>
    <col min="1036" max="1279" width="8.875" style="1"/>
    <col min="1280" max="1280" width="15.75" style="1" customWidth="1"/>
    <col min="1281" max="1281" width="4.75" style="1" customWidth="1"/>
    <col min="1282" max="1282" width="53.25" style="1" customWidth="1"/>
    <col min="1283" max="1283" width="12.75" style="1" customWidth="1"/>
    <col min="1284" max="1284" width="7.875" style="1" customWidth="1"/>
    <col min="1285" max="1285" width="7.125" style="1" customWidth="1"/>
    <col min="1286" max="1286" width="5.75" style="1" customWidth="1"/>
    <col min="1287" max="1287" width="15.25" style="1" customWidth="1"/>
    <col min="1288" max="1288" width="23.375" style="1" customWidth="1"/>
    <col min="1289" max="1289" width="8.875" style="1"/>
    <col min="1290" max="1290" width="13.25" style="1" customWidth="1"/>
    <col min="1291" max="1291" width="12.25" style="1" customWidth="1"/>
    <col min="1292" max="1535" width="8.875" style="1"/>
    <col min="1536" max="1536" width="15.75" style="1" customWidth="1"/>
    <col min="1537" max="1537" width="4.75" style="1" customWidth="1"/>
    <col min="1538" max="1538" width="53.25" style="1" customWidth="1"/>
    <col min="1539" max="1539" width="12.75" style="1" customWidth="1"/>
    <col min="1540" max="1540" width="7.875" style="1" customWidth="1"/>
    <col min="1541" max="1541" width="7.125" style="1" customWidth="1"/>
    <col min="1542" max="1542" width="5.75" style="1" customWidth="1"/>
    <col min="1543" max="1543" width="15.25" style="1" customWidth="1"/>
    <col min="1544" max="1544" width="23.375" style="1" customWidth="1"/>
    <col min="1545" max="1545" width="8.875" style="1"/>
    <col min="1546" max="1546" width="13.25" style="1" customWidth="1"/>
    <col min="1547" max="1547" width="12.25" style="1" customWidth="1"/>
    <col min="1548" max="1791" width="8.875" style="1"/>
    <col min="1792" max="1792" width="15.75" style="1" customWidth="1"/>
    <col min="1793" max="1793" width="4.75" style="1" customWidth="1"/>
    <col min="1794" max="1794" width="53.25" style="1" customWidth="1"/>
    <col min="1795" max="1795" width="12.75" style="1" customWidth="1"/>
    <col min="1796" max="1796" width="7.875" style="1" customWidth="1"/>
    <col min="1797" max="1797" width="7.125" style="1" customWidth="1"/>
    <col min="1798" max="1798" width="5.75" style="1" customWidth="1"/>
    <col min="1799" max="1799" width="15.25" style="1" customWidth="1"/>
    <col min="1800" max="1800" width="23.375" style="1" customWidth="1"/>
    <col min="1801" max="1801" width="8.875" style="1"/>
    <col min="1802" max="1802" width="13.25" style="1" customWidth="1"/>
    <col min="1803" max="1803" width="12.25" style="1" customWidth="1"/>
    <col min="1804" max="2047" width="8.875" style="1"/>
    <col min="2048" max="2048" width="15.75" style="1" customWidth="1"/>
    <col min="2049" max="2049" width="4.75" style="1" customWidth="1"/>
    <col min="2050" max="2050" width="53.25" style="1" customWidth="1"/>
    <col min="2051" max="2051" width="12.75" style="1" customWidth="1"/>
    <col min="2052" max="2052" width="7.875" style="1" customWidth="1"/>
    <col min="2053" max="2053" width="7.125" style="1" customWidth="1"/>
    <col min="2054" max="2054" width="5.75" style="1" customWidth="1"/>
    <col min="2055" max="2055" width="15.25" style="1" customWidth="1"/>
    <col min="2056" max="2056" width="23.375" style="1" customWidth="1"/>
    <col min="2057" max="2057" width="8.875" style="1"/>
    <col min="2058" max="2058" width="13.25" style="1" customWidth="1"/>
    <col min="2059" max="2059" width="12.25" style="1" customWidth="1"/>
    <col min="2060" max="2303" width="8.875" style="1"/>
    <col min="2304" max="2304" width="15.75" style="1" customWidth="1"/>
    <col min="2305" max="2305" width="4.75" style="1" customWidth="1"/>
    <col min="2306" max="2306" width="53.25" style="1" customWidth="1"/>
    <col min="2307" max="2307" width="12.75" style="1" customWidth="1"/>
    <col min="2308" max="2308" width="7.875" style="1" customWidth="1"/>
    <col min="2309" max="2309" width="7.125" style="1" customWidth="1"/>
    <col min="2310" max="2310" width="5.75" style="1" customWidth="1"/>
    <col min="2311" max="2311" width="15.25" style="1" customWidth="1"/>
    <col min="2312" max="2312" width="23.375" style="1" customWidth="1"/>
    <col min="2313" max="2313" width="8.875" style="1"/>
    <col min="2314" max="2314" width="13.25" style="1" customWidth="1"/>
    <col min="2315" max="2315" width="12.25" style="1" customWidth="1"/>
    <col min="2316" max="2559" width="8.875" style="1"/>
    <col min="2560" max="2560" width="15.75" style="1" customWidth="1"/>
    <col min="2561" max="2561" width="4.75" style="1" customWidth="1"/>
    <col min="2562" max="2562" width="53.25" style="1" customWidth="1"/>
    <col min="2563" max="2563" width="12.75" style="1" customWidth="1"/>
    <col min="2564" max="2564" width="7.875" style="1" customWidth="1"/>
    <col min="2565" max="2565" width="7.125" style="1" customWidth="1"/>
    <col min="2566" max="2566" width="5.75" style="1" customWidth="1"/>
    <col min="2567" max="2567" width="15.25" style="1" customWidth="1"/>
    <col min="2568" max="2568" width="23.375" style="1" customWidth="1"/>
    <col min="2569" max="2569" width="8.875" style="1"/>
    <col min="2570" max="2570" width="13.25" style="1" customWidth="1"/>
    <col min="2571" max="2571" width="12.25" style="1" customWidth="1"/>
    <col min="2572" max="2815" width="8.875" style="1"/>
    <col min="2816" max="2816" width="15.75" style="1" customWidth="1"/>
    <col min="2817" max="2817" width="4.75" style="1" customWidth="1"/>
    <col min="2818" max="2818" width="53.25" style="1" customWidth="1"/>
    <col min="2819" max="2819" width="12.75" style="1" customWidth="1"/>
    <col min="2820" max="2820" width="7.875" style="1" customWidth="1"/>
    <col min="2821" max="2821" width="7.125" style="1" customWidth="1"/>
    <col min="2822" max="2822" width="5.75" style="1" customWidth="1"/>
    <col min="2823" max="2823" width="15.25" style="1" customWidth="1"/>
    <col min="2824" max="2824" width="23.375" style="1" customWidth="1"/>
    <col min="2825" max="2825" width="8.875" style="1"/>
    <col min="2826" max="2826" width="13.25" style="1" customWidth="1"/>
    <col min="2827" max="2827" width="12.25" style="1" customWidth="1"/>
    <col min="2828" max="3071" width="8.875" style="1"/>
    <col min="3072" max="3072" width="15.75" style="1" customWidth="1"/>
    <col min="3073" max="3073" width="4.75" style="1" customWidth="1"/>
    <col min="3074" max="3074" width="53.25" style="1" customWidth="1"/>
    <col min="3075" max="3075" width="12.75" style="1" customWidth="1"/>
    <col min="3076" max="3076" width="7.875" style="1" customWidth="1"/>
    <col min="3077" max="3077" width="7.125" style="1" customWidth="1"/>
    <col min="3078" max="3078" width="5.75" style="1" customWidth="1"/>
    <col min="3079" max="3079" width="15.25" style="1" customWidth="1"/>
    <col min="3080" max="3080" width="23.375" style="1" customWidth="1"/>
    <col min="3081" max="3081" width="8.875" style="1"/>
    <col min="3082" max="3082" width="13.25" style="1" customWidth="1"/>
    <col min="3083" max="3083" width="12.25" style="1" customWidth="1"/>
    <col min="3084" max="3327" width="8.875" style="1"/>
    <col min="3328" max="3328" width="15.75" style="1" customWidth="1"/>
    <col min="3329" max="3329" width="4.75" style="1" customWidth="1"/>
    <col min="3330" max="3330" width="53.25" style="1" customWidth="1"/>
    <col min="3331" max="3331" width="12.75" style="1" customWidth="1"/>
    <col min="3332" max="3332" width="7.875" style="1" customWidth="1"/>
    <col min="3333" max="3333" width="7.125" style="1" customWidth="1"/>
    <col min="3334" max="3334" width="5.75" style="1" customWidth="1"/>
    <col min="3335" max="3335" width="15.25" style="1" customWidth="1"/>
    <col min="3336" max="3336" width="23.375" style="1" customWidth="1"/>
    <col min="3337" max="3337" width="8.875" style="1"/>
    <col min="3338" max="3338" width="13.25" style="1" customWidth="1"/>
    <col min="3339" max="3339" width="12.25" style="1" customWidth="1"/>
    <col min="3340" max="3583" width="8.875" style="1"/>
    <col min="3584" max="3584" width="15.75" style="1" customWidth="1"/>
    <col min="3585" max="3585" width="4.75" style="1" customWidth="1"/>
    <col min="3586" max="3586" width="53.25" style="1" customWidth="1"/>
    <col min="3587" max="3587" width="12.75" style="1" customWidth="1"/>
    <col min="3588" max="3588" width="7.875" style="1" customWidth="1"/>
    <col min="3589" max="3589" width="7.125" style="1" customWidth="1"/>
    <col min="3590" max="3590" width="5.75" style="1" customWidth="1"/>
    <col min="3591" max="3591" width="15.25" style="1" customWidth="1"/>
    <col min="3592" max="3592" width="23.375" style="1" customWidth="1"/>
    <col min="3593" max="3593" width="8.875" style="1"/>
    <col min="3594" max="3594" width="13.25" style="1" customWidth="1"/>
    <col min="3595" max="3595" width="12.25" style="1" customWidth="1"/>
    <col min="3596" max="3839" width="8.875" style="1"/>
    <col min="3840" max="3840" width="15.75" style="1" customWidth="1"/>
    <col min="3841" max="3841" width="4.75" style="1" customWidth="1"/>
    <col min="3842" max="3842" width="53.25" style="1" customWidth="1"/>
    <col min="3843" max="3843" width="12.75" style="1" customWidth="1"/>
    <col min="3844" max="3844" width="7.875" style="1" customWidth="1"/>
    <col min="3845" max="3845" width="7.125" style="1" customWidth="1"/>
    <col min="3846" max="3846" width="5.75" style="1" customWidth="1"/>
    <col min="3847" max="3847" width="15.25" style="1" customWidth="1"/>
    <col min="3848" max="3848" width="23.375" style="1" customWidth="1"/>
    <col min="3849" max="3849" width="8.875" style="1"/>
    <col min="3850" max="3850" width="13.25" style="1" customWidth="1"/>
    <col min="3851" max="3851" width="12.25" style="1" customWidth="1"/>
    <col min="3852" max="4095" width="8.875" style="1"/>
    <col min="4096" max="4096" width="15.75" style="1" customWidth="1"/>
    <col min="4097" max="4097" width="4.75" style="1" customWidth="1"/>
    <col min="4098" max="4098" width="53.25" style="1" customWidth="1"/>
    <col min="4099" max="4099" width="12.75" style="1" customWidth="1"/>
    <col min="4100" max="4100" width="7.875" style="1" customWidth="1"/>
    <col min="4101" max="4101" width="7.125" style="1" customWidth="1"/>
    <col min="4102" max="4102" width="5.75" style="1" customWidth="1"/>
    <col min="4103" max="4103" width="15.25" style="1" customWidth="1"/>
    <col min="4104" max="4104" width="23.375" style="1" customWidth="1"/>
    <col min="4105" max="4105" width="8.875" style="1"/>
    <col min="4106" max="4106" width="13.25" style="1" customWidth="1"/>
    <col min="4107" max="4107" width="12.25" style="1" customWidth="1"/>
    <col min="4108" max="4351" width="8.875" style="1"/>
    <col min="4352" max="4352" width="15.75" style="1" customWidth="1"/>
    <col min="4353" max="4353" width="4.75" style="1" customWidth="1"/>
    <col min="4354" max="4354" width="53.25" style="1" customWidth="1"/>
    <col min="4355" max="4355" width="12.75" style="1" customWidth="1"/>
    <col min="4356" max="4356" width="7.875" style="1" customWidth="1"/>
    <col min="4357" max="4357" width="7.125" style="1" customWidth="1"/>
    <col min="4358" max="4358" width="5.75" style="1" customWidth="1"/>
    <col min="4359" max="4359" width="15.25" style="1" customWidth="1"/>
    <col min="4360" max="4360" width="23.375" style="1" customWidth="1"/>
    <col min="4361" max="4361" width="8.875" style="1"/>
    <col min="4362" max="4362" width="13.25" style="1" customWidth="1"/>
    <col min="4363" max="4363" width="12.25" style="1" customWidth="1"/>
    <col min="4364" max="4607" width="8.875" style="1"/>
    <col min="4608" max="4608" width="15.75" style="1" customWidth="1"/>
    <col min="4609" max="4609" width="4.75" style="1" customWidth="1"/>
    <col min="4610" max="4610" width="53.25" style="1" customWidth="1"/>
    <col min="4611" max="4611" width="12.75" style="1" customWidth="1"/>
    <col min="4612" max="4612" width="7.875" style="1" customWidth="1"/>
    <col min="4613" max="4613" width="7.125" style="1" customWidth="1"/>
    <col min="4614" max="4614" width="5.75" style="1" customWidth="1"/>
    <col min="4615" max="4615" width="15.25" style="1" customWidth="1"/>
    <col min="4616" max="4616" width="23.375" style="1" customWidth="1"/>
    <col min="4617" max="4617" width="8.875" style="1"/>
    <col min="4618" max="4618" width="13.25" style="1" customWidth="1"/>
    <col min="4619" max="4619" width="12.25" style="1" customWidth="1"/>
    <col min="4620" max="4863" width="8.875" style="1"/>
    <col min="4864" max="4864" width="15.75" style="1" customWidth="1"/>
    <col min="4865" max="4865" width="4.75" style="1" customWidth="1"/>
    <col min="4866" max="4866" width="53.25" style="1" customWidth="1"/>
    <col min="4867" max="4867" width="12.75" style="1" customWidth="1"/>
    <col min="4868" max="4868" width="7.875" style="1" customWidth="1"/>
    <col min="4869" max="4869" width="7.125" style="1" customWidth="1"/>
    <col min="4870" max="4870" width="5.75" style="1" customWidth="1"/>
    <col min="4871" max="4871" width="15.25" style="1" customWidth="1"/>
    <col min="4872" max="4872" width="23.375" style="1" customWidth="1"/>
    <col min="4873" max="4873" width="8.875" style="1"/>
    <col min="4874" max="4874" width="13.25" style="1" customWidth="1"/>
    <col min="4875" max="4875" width="12.25" style="1" customWidth="1"/>
    <col min="4876" max="5119" width="8.875" style="1"/>
    <col min="5120" max="5120" width="15.75" style="1" customWidth="1"/>
    <col min="5121" max="5121" width="4.75" style="1" customWidth="1"/>
    <col min="5122" max="5122" width="53.25" style="1" customWidth="1"/>
    <col min="5123" max="5123" width="12.75" style="1" customWidth="1"/>
    <col min="5124" max="5124" width="7.875" style="1" customWidth="1"/>
    <col min="5125" max="5125" width="7.125" style="1" customWidth="1"/>
    <col min="5126" max="5126" width="5.75" style="1" customWidth="1"/>
    <col min="5127" max="5127" width="15.25" style="1" customWidth="1"/>
    <col min="5128" max="5128" width="23.375" style="1" customWidth="1"/>
    <col min="5129" max="5129" width="8.875" style="1"/>
    <col min="5130" max="5130" width="13.25" style="1" customWidth="1"/>
    <col min="5131" max="5131" width="12.25" style="1" customWidth="1"/>
    <col min="5132" max="5375" width="8.875" style="1"/>
    <col min="5376" max="5376" width="15.75" style="1" customWidth="1"/>
    <col min="5377" max="5377" width="4.75" style="1" customWidth="1"/>
    <col min="5378" max="5378" width="53.25" style="1" customWidth="1"/>
    <col min="5379" max="5379" width="12.75" style="1" customWidth="1"/>
    <col min="5380" max="5380" width="7.875" style="1" customWidth="1"/>
    <col min="5381" max="5381" width="7.125" style="1" customWidth="1"/>
    <col min="5382" max="5382" width="5.75" style="1" customWidth="1"/>
    <col min="5383" max="5383" width="15.25" style="1" customWidth="1"/>
    <col min="5384" max="5384" width="23.375" style="1" customWidth="1"/>
    <col min="5385" max="5385" width="8.875" style="1"/>
    <col min="5386" max="5386" width="13.25" style="1" customWidth="1"/>
    <col min="5387" max="5387" width="12.25" style="1" customWidth="1"/>
    <col min="5388" max="5631" width="8.875" style="1"/>
    <col min="5632" max="5632" width="15.75" style="1" customWidth="1"/>
    <col min="5633" max="5633" width="4.75" style="1" customWidth="1"/>
    <col min="5634" max="5634" width="53.25" style="1" customWidth="1"/>
    <col min="5635" max="5635" width="12.75" style="1" customWidth="1"/>
    <col min="5636" max="5636" width="7.875" style="1" customWidth="1"/>
    <col min="5637" max="5637" width="7.125" style="1" customWidth="1"/>
    <col min="5638" max="5638" width="5.75" style="1" customWidth="1"/>
    <col min="5639" max="5639" width="15.25" style="1" customWidth="1"/>
    <col min="5640" max="5640" width="23.375" style="1" customWidth="1"/>
    <col min="5641" max="5641" width="8.875" style="1"/>
    <col min="5642" max="5642" width="13.25" style="1" customWidth="1"/>
    <col min="5643" max="5643" width="12.25" style="1" customWidth="1"/>
    <col min="5644" max="5887" width="8.875" style="1"/>
    <col min="5888" max="5888" width="15.75" style="1" customWidth="1"/>
    <col min="5889" max="5889" width="4.75" style="1" customWidth="1"/>
    <col min="5890" max="5890" width="53.25" style="1" customWidth="1"/>
    <col min="5891" max="5891" width="12.75" style="1" customWidth="1"/>
    <col min="5892" max="5892" width="7.875" style="1" customWidth="1"/>
    <col min="5893" max="5893" width="7.125" style="1" customWidth="1"/>
    <col min="5894" max="5894" width="5.75" style="1" customWidth="1"/>
    <col min="5895" max="5895" width="15.25" style="1" customWidth="1"/>
    <col min="5896" max="5896" width="23.375" style="1" customWidth="1"/>
    <col min="5897" max="5897" width="8.875" style="1"/>
    <col min="5898" max="5898" width="13.25" style="1" customWidth="1"/>
    <col min="5899" max="5899" width="12.25" style="1" customWidth="1"/>
    <col min="5900" max="6143" width="8.875" style="1"/>
    <col min="6144" max="6144" width="15.75" style="1" customWidth="1"/>
    <col min="6145" max="6145" width="4.75" style="1" customWidth="1"/>
    <col min="6146" max="6146" width="53.25" style="1" customWidth="1"/>
    <col min="6147" max="6147" width="12.75" style="1" customWidth="1"/>
    <col min="6148" max="6148" width="7.875" style="1" customWidth="1"/>
    <col min="6149" max="6149" width="7.125" style="1" customWidth="1"/>
    <col min="6150" max="6150" width="5.75" style="1" customWidth="1"/>
    <col min="6151" max="6151" width="15.25" style="1" customWidth="1"/>
    <col min="6152" max="6152" width="23.375" style="1" customWidth="1"/>
    <col min="6153" max="6153" width="8.875" style="1"/>
    <col min="6154" max="6154" width="13.25" style="1" customWidth="1"/>
    <col min="6155" max="6155" width="12.25" style="1" customWidth="1"/>
    <col min="6156" max="6399" width="8.875" style="1"/>
    <col min="6400" max="6400" width="15.75" style="1" customWidth="1"/>
    <col min="6401" max="6401" width="4.75" style="1" customWidth="1"/>
    <col min="6402" max="6402" width="53.25" style="1" customWidth="1"/>
    <col min="6403" max="6403" width="12.75" style="1" customWidth="1"/>
    <col min="6404" max="6404" width="7.875" style="1" customWidth="1"/>
    <col min="6405" max="6405" width="7.125" style="1" customWidth="1"/>
    <col min="6406" max="6406" width="5.75" style="1" customWidth="1"/>
    <col min="6407" max="6407" width="15.25" style="1" customWidth="1"/>
    <col min="6408" max="6408" width="23.375" style="1" customWidth="1"/>
    <col min="6409" max="6409" width="8.875" style="1"/>
    <col min="6410" max="6410" width="13.25" style="1" customWidth="1"/>
    <col min="6411" max="6411" width="12.25" style="1" customWidth="1"/>
    <col min="6412" max="6655" width="8.875" style="1"/>
    <col min="6656" max="6656" width="15.75" style="1" customWidth="1"/>
    <col min="6657" max="6657" width="4.75" style="1" customWidth="1"/>
    <col min="6658" max="6658" width="53.25" style="1" customWidth="1"/>
    <col min="6659" max="6659" width="12.75" style="1" customWidth="1"/>
    <col min="6660" max="6660" width="7.875" style="1" customWidth="1"/>
    <col min="6661" max="6661" width="7.125" style="1" customWidth="1"/>
    <col min="6662" max="6662" width="5.75" style="1" customWidth="1"/>
    <col min="6663" max="6663" width="15.25" style="1" customWidth="1"/>
    <col min="6664" max="6664" width="23.375" style="1" customWidth="1"/>
    <col min="6665" max="6665" width="8.875" style="1"/>
    <col min="6666" max="6666" width="13.25" style="1" customWidth="1"/>
    <col min="6667" max="6667" width="12.25" style="1" customWidth="1"/>
    <col min="6668" max="6911" width="8.875" style="1"/>
    <col min="6912" max="6912" width="15.75" style="1" customWidth="1"/>
    <col min="6913" max="6913" width="4.75" style="1" customWidth="1"/>
    <col min="6914" max="6914" width="53.25" style="1" customWidth="1"/>
    <col min="6915" max="6915" width="12.75" style="1" customWidth="1"/>
    <col min="6916" max="6916" width="7.875" style="1" customWidth="1"/>
    <col min="6917" max="6917" width="7.125" style="1" customWidth="1"/>
    <col min="6918" max="6918" width="5.75" style="1" customWidth="1"/>
    <col min="6919" max="6919" width="15.25" style="1" customWidth="1"/>
    <col min="6920" max="6920" width="23.375" style="1" customWidth="1"/>
    <col min="6921" max="6921" width="8.875" style="1"/>
    <col min="6922" max="6922" width="13.25" style="1" customWidth="1"/>
    <col min="6923" max="6923" width="12.25" style="1" customWidth="1"/>
    <col min="6924" max="7167" width="8.875" style="1"/>
    <col min="7168" max="7168" width="15.75" style="1" customWidth="1"/>
    <col min="7169" max="7169" width="4.75" style="1" customWidth="1"/>
    <col min="7170" max="7170" width="53.25" style="1" customWidth="1"/>
    <col min="7171" max="7171" width="12.75" style="1" customWidth="1"/>
    <col min="7172" max="7172" width="7.875" style="1" customWidth="1"/>
    <col min="7173" max="7173" width="7.125" style="1" customWidth="1"/>
    <col min="7174" max="7174" width="5.75" style="1" customWidth="1"/>
    <col min="7175" max="7175" width="15.25" style="1" customWidth="1"/>
    <col min="7176" max="7176" width="23.375" style="1" customWidth="1"/>
    <col min="7177" max="7177" width="8.875" style="1"/>
    <col min="7178" max="7178" width="13.25" style="1" customWidth="1"/>
    <col min="7179" max="7179" width="12.25" style="1" customWidth="1"/>
    <col min="7180" max="7423" width="8.875" style="1"/>
    <col min="7424" max="7424" width="15.75" style="1" customWidth="1"/>
    <col min="7425" max="7425" width="4.75" style="1" customWidth="1"/>
    <col min="7426" max="7426" width="53.25" style="1" customWidth="1"/>
    <col min="7427" max="7427" width="12.75" style="1" customWidth="1"/>
    <col min="7428" max="7428" width="7.875" style="1" customWidth="1"/>
    <col min="7429" max="7429" width="7.125" style="1" customWidth="1"/>
    <col min="7430" max="7430" width="5.75" style="1" customWidth="1"/>
    <col min="7431" max="7431" width="15.25" style="1" customWidth="1"/>
    <col min="7432" max="7432" width="23.375" style="1" customWidth="1"/>
    <col min="7433" max="7433" width="8.875" style="1"/>
    <col min="7434" max="7434" width="13.25" style="1" customWidth="1"/>
    <col min="7435" max="7435" width="12.25" style="1" customWidth="1"/>
    <col min="7436" max="7679" width="8.875" style="1"/>
    <col min="7680" max="7680" width="15.75" style="1" customWidth="1"/>
    <col min="7681" max="7681" width="4.75" style="1" customWidth="1"/>
    <col min="7682" max="7682" width="53.25" style="1" customWidth="1"/>
    <col min="7683" max="7683" width="12.75" style="1" customWidth="1"/>
    <col min="7684" max="7684" width="7.875" style="1" customWidth="1"/>
    <col min="7685" max="7685" width="7.125" style="1" customWidth="1"/>
    <col min="7686" max="7686" width="5.75" style="1" customWidth="1"/>
    <col min="7687" max="7687" width="15.25" style="1" customWidth="1"/>
    <col min="7688" max="7688" width="23.375" style="1" customWidth="1"/>
    <col min="7689" max="7689" width="8.875" style="1"/>
    <col min="7690" max="7690" width="13.25" style="1" customWidth="1"/>
    <col min="7691" max="7691" width="12.25" style="1" customWidth="1"/>
    <col min="7692" max="7935" width="8.875" style="1"/>
    <col min="7936" max="7936" width="15.75" style="1" customWidth="1"/>
    <col min="7937" max="7937" width="4.75" style="1" customWidth="1"/>
    <col min="7938" max="7938" width="53.25" style="1" customWidth="1"/>
    <col min="7939" max="7939" width="12.75" style="1" customWidth="1"/>
    <col min="7940" max="7940" width="7.875" style="1" customWidth="1"/>
    <col min="7941" max="7941" width="7.125" style="1" customWidth="1"/>
    <col min="7942" max="7942" width="5.75" style="1" customWidth="1"/>
    <col min="7943" max="7943" width="15.25" style="1" customWidth="1"/>
    <col min="7944" max="7944" width="23.375" style="1" customWidth="1"/>
    <col min="7945" max="7945" width="8.875" style="1"/>
    <col min="7946" max="7946" width="13.25" style="1" customWidth="1"/>
    <col min="7947" max="7947" width="12.25" style="1" customWidth="1"/>
    <col min="7948" max="8191" width="8.875" style="1"/>
    <col min="8192" max="8192" width="15.75" style="1" customWidth="1"/>
    <col min="8193" max="8193" width="4.75" style="1" customWidth="1"/>
    <col min="8194" max="8194" width="53.25" style="1" customWidth="1"/>
    <col min="8195" max="8195" width="12.75" style="1" customWidth="1"/>
    <col min="8196" max="8196" width="7.875" style="1" customWidth="1"/>
    <col min="8197" max="8197" width="7.125" style="1" customWidth="1"/>
    <col min="8198" max="8198" width="5.75" style="1" customWidth="1"/>
    <col min="8199" max="8199" width="15.25" style="1" customWidth="1"/>
    <col min="8200" max="8200" width="23.375" style="1" customWidth="1"/>
    <col min="8201" max="8201" width="8.875" style="1"/>
    <col min="8202" max="8202" width="13.25" style="1" customWidth="1"/>
    <col min="8203" max="8203" width="12.25" style="1" customWidth="1"/>
    <col min="8204" max="8447" width="8.875" style="1"/>
    <col min="8448" max="8448" width="15.75" style="1" customWidth="1"/>
    <col min="8449" max="8449" width="4.75" style="1" customWidth="1"/>
    <col min="8450" max="8450" width="53.25" style="1" customWidth="1"/>
    <col min="8451" max="8451" width="12.75" style="1" customWidth="1"/>
    <col min="8452" max="8452" width="7.875" style="1" customWidth="1"/>
    <col min="8453" max="8453" width="7.125" style="1" customWidth="1"/>
    <col min="8454" max="8454" width="5.75" style="1" customWidth="1"/>
    <col min="8455" max="8455" width="15.25" style="1" customWidth="1"/>
    <col min="8456" max="8456" width="23.375" style="1" customWidth="1"/>
    <col min="8457" max="8457" width="8.875" style="1"/>
    <col min="8458" max="8458" width="13.25" style="1" customWidth="1"/>
    <col min="8459" max="8459" width="12.25" style="1" customWidth="1"/>
    <col min="8460" max="8703" width="8.875" style="1"/>
    <col min="8704" max="8704" width="15.75" style="1" customWidth="1"/>
    <col min="8705" max="8705" width="4.75" style="1" customWidth="1"/>
    <col min="8706" max="8706" width="53.25" style="1" customWidth="1"/>
    <col min="8707" max="8707" width="12.75" style="1" customWidth="1"/>
    <col min="8708" max="8708" width="7.875" style="1" customWidth="1"/>
    <col min="8709" max="8709" width="7.125" style="1" customWidth="1"/>
    <col min="8710" max="8710" width="5.75" style="1" customWidth="1"/>
    <col min="8711" max="8711" width="15.25" style="1" customWidth="1"/>
    <col min="8712" max="8712" width="23.375" style="1" customWidth="1"/>
    <col min="8713" max="8713" width="8.875" style="1"/>
    <col min="8714" max="8714" width="13.25" style="1" customWidth="1"/>
    <col min="8715" max="8715" width="12.25" style="1" customWidth="1"/>
    <col min="8716" max="8959" width="8.875" style="1"/>
    <col min="8960" max="8960" width="15.75" style="1" customWidth="1"/>
    <col min="8961" max="8961" width="4.75" style="1" customWidth="1"/>
    <col min="8962" max="8962" width="53.25" style="1" customWidth="1"/>
    <col min="8963" max="8963" width="12.75" style="1" customWidth="1"/>
    <col min="8964" max="8964" width="7.875" style="1" customWidth="1"/>
    <col min="8965" max="8965" width="7.125" style="1" customWidth="1"/>
    <col min="8966" max="8966" width="5.75" style="1" customWidth="1"/>
    <col min="8967" max="8967" width="15.25" style="1" customWidth="1"/>
    <col min="8968" max="8968" width="23.375" style="1" customWidth="1"/>
    <col min="8969" max="8969" width="8.875" style="1"/>
    <col min="8970" max="8970" width="13.25" style="1" customWidth="1"/>
    <col min="8971" max="8971" width="12.25" style="1" customWidth="1"/>
    <col min="8972" max="9215" width="8.875" style="1"/>
    <col min="9216" max="9216" width="15.75" style="1" customWidth="1"/>
    <col min="9217" max="9217" width="4.75" style="1" customWidth="1"/>
    <col min="9218" max="9218" width="53.25" style="1" customWidth="1"/>
    <col min="9219" max="9219" width="12.75" style="1" customWidth="1"/>
    <col min="9220" max="9220" width="7.875" style="1" customWidth="1"/>
    <col min="9221" max="9221" width="7.125" style="1" customWidth="1"/>
    <col min="9222" max="9222" width="5.75" style="1" customWidth="1"/>
    <col min="9223" max="9223" width="15.25" style="1" customWidth="1"/>
    <col min="9224" max="9224" width="23.375" style="1" customWidth="1"/>
    <col min="9225" max="9225" width="8.875" style="1"/>
    <col min="9226" max="9226" width="13.25" style="1" customWidth="1"/>
    <col min="9227" max="9227" width="12.25" style="1" customWidth="1"/>
    <col min="9228" max="9471" width="8.875" style="1"/>
    <col min="9472" max="9472" width="15.75" style="1" customWidth="1"/>
    <col min="9473" max="9473" width="4.75" style="1" customWidth="1"/>
    <col min="9474" max="9474" width="53.25" style="1" customWidth="1"/>
    <col min="9475" max="9475" width="12.75" style="1" customWidth="1"/>
    <col min="9476" max="9476" width="7.875" style="1" customWidth="1"/>
    <col min="9477" max="9477" width="7.125" style="1" customWidth="1"/>
    <col min="9478" max="9478" width="5.75" style="1" customWidth="1"/>
    <col min="9479" max="9479" width="15.25" style="1" customWidth="1"/>
    <col min="9480" max="9480" width="23.375" style="1" customWidth="1"/>
    <col min="9481" max="9481" width="8.875" style="1"/>
    <col min="9482" max="9482" width="13.25" style="1" customWidth="1"/>
    <col min="9483" max="9483" width="12.25" style="1" customWidth="1"/>
    <col min="9484" max="9727" width="8.875" style="1"/>
    <col min="9728" max="9728" width="15.75" style="1" customWidth="1"/>
    <col min="9729" max="9729" width="4.75" style="1" customWidth="1"/>
    <col min="9730" max="9730" width="53.25" style="1" customWidth="1"/>
    <col min="9731" max="9731" width="12.75" style="1" customWidth="1"/>
    <col min="9732" max="9732" width="7.875" style="1" customWidth="1"/>
    <col min="9733" max="9733" width="7.125" style="1" customWidth="1"/>
    <col min="9734" max="9734" width="5.75" style="1" customWidth="1"/>
    <col min="9735" max="9735" width="15.25" style="1" customWidth="1"/>
    <col min="9736" max="9736" width="23.375" style="1" customWidth="1"/>
    <col min="9737" max="9737" width="8.875" style="1"/>
    <col min="9738" max="9738" width="13.25" style="1" customWidth="1"/>
    <col min="9739" max="9739" width="12.25" style="1" customWidth="1"/>
    <col min="9740" max="9983" width="8.875" style="1"/>
    <col min="9984" max="9984" width="15.75" style="1" customWidth="1"/>
    <col min="9985" max="9985" width="4.75" style="1" customWidth="1"/>
    <col min="9986" max="9986" width="53.25" style="1" customWidth="1"/>
    <col min="9987" max="9987" width="12.75" style="1" customWidth="1"/>
    <col min="9988" max="9988" width="7.875" style="1" customWidth="1"/>
    <col min="9989" max="9989" width="7.125" style="1" customWidth="1"/>
    <col min="9990" max="9990" width="5.75" style="1" customWidth="1"/>
    <col min="9991" max="9991" width="15.25" style="1" customWidth="1"/>
    <col min="9992" max="9992" width="23.375" style="1" customWidth="1"/>
    <col min="9993" max="9993" width="8.875" style="1"/>
    <col min="9994" max="9994" width="13.25" style="1" customWidth="1"/>
    <col min="9995" max="9995" width="12.25" style="1" customWidth="1"/>
    <col min="9996" max="10239" width="8.875" style="1"/>
    <col min="10240" max="10240" width="15.75" style="1" customWidth="1"/>
    <col min="10241" max="10241" width="4.75" style="1" customWidth="1"/>
    <col min="10242" max="10242" width="53.25" style="1" customWidth="1"/>
    <col min="10243" max="10243" width="12.75" style="1" customWidth="1"/>
    <col min="10244" max="10244" width="7.875" style="1" customWidth="1"/>
    <col min="10245" max="10245" width="7.125" style="1" customWidth="1"/>
    <col min="10246" max="10246" width="5.75" style="1" customWidth="1"/>
    <col min="10247" max="10247" width="15.25" style="1" customWidth="1"/>
    <col min="10248" max="10248" width="23.375" style="1" customWidth="1"/>
    <col min="10249" max="10249" width="8.875" style="1"/>
    <col min="10250" max="10250" width="13.25" style="1" customWidth="1"/>
    <col min="10251" max="10251" width="12.25" style="1" customWidth="1"/>
    <col min="10252" max="10495" width="8.875" style="1"/>
    <col min="10496" max="10496" width="15.75" style="1" customWidth="1"/>
    <col min="10497" max="10497" width="4.75" style="1" customWidth="1"/>
    <col min="10498" max="10498" width="53.25" style="1" customWidth="1"/>
    <col min="10499" max="10499" width="12.75" style="1" customWidth="1"/>
    <col min="10500" max="10500" width="7.875" style="1" customWidth="1"/>
    <col min="10501" max="10501" width="7.125" style="1" customWidth="1"/>
    <col min="10502" max="10502" width="5.75" style="1" customWidth="1"/>
    <col min="10503" max="10503" width="15.25" style="1" customWidth="1"/>
    <col min="10504" max="10504" width="23.375" style="1" customWidth="1"/>
    <col min="10505" max="10505" width="8.875" style="1"/>
    <col min="10506" max="10506" width="13.25" style="1" customWidth="1"/>
    <col min="10507" max="10507" width="12.25" style="1" customWidth="1"/>
    <col min="10508" max="10751" width="8.875" style="1"/>
    <col min="10752" max="10752" width="15.75" style="1" customWidth="1"/>
    <col min="10753" max="10753" width="4.75" style="1" customWidth="1"/>
    <col min="10754" max="10754" width="53.25" style="1" customWidth="1"/>
    <col min="10755" max="10755" width="12.75" style="1" customWidth="1"/>
    <col min="10756" max="10756" width="7.875" style="1" customWidth="1"/>
    <col min="10757" max="10757" width="7.125" style="1" customWidth="1"/>
    <col min="10758" max="10758" width="5.75" style="1" customWidth="1"/>
    <col min="10759" max="10759" width="15.25" style="1" customWidth="1"/>
    <col min="10760" max="10760" width="23.375" style="1" customWidth="1"/>
    <col min="10761" max="10761" width="8.875" style="1"/>
    <col min="10762" max="10762" width="13.25" style="1" customWidth="1"/>
    <col min="10763" max="10763" width="12.25" style="1" customWidth="1"/>
    <col min="10764" max="11007" width="8.875" style="1"/>
    <col min="11008" max="11008" width="15.75" style="1" customWidth="1"/>
    <col min="11009" max="11009" width="4.75" style="1" customWidth="1"/>
    <col min="11010" max="11010" width="53.25" style="1" customWidth="1"/>
    <col min="11011" max="11011" width="12.75" style="1" customWidth="1"/>
    <col min="11012" max="11012" width="7.875" style="1" customWidth="1"/>
    <col min="11013" max="11013" width="7.125" style="1" customWidth="1"/>
    <col min="11014" max="11014" width="5.75" style="1" customWidth="1"/>
    <col min="11015" max="11015" width="15.25" style="1" customWidth="1"/>
    <col min="11016" max="11016" width="23.375" style="1" customWidth="1"/>
    <col min="11017" max="11017" width="8.875" style="1"/>
    <col min="11018" max="11018" width="13.25" style="1" customWidth="1"/>
    <col min="11019" max="11019" width="12.25" style="1" customWidth="1"/>
    <col min="11020" max="11263" width="8.875" style="1"/>
    <col min="11264" max="11264" width="15.75" style="1" customWidth="1"/>
    <col min="11265" max="11265" width="4.75" style="1" customWidth="1"/>
    <col min="11266" max="11266" width="53.25" style="1" customWidth="1"/>
    <col min="11267" max="11267" width="12.75" style="1" customWidth="1"/>
    <col min="11268" max="11268" width="7.875" style="1" customWidth="1"/>
    <col min="11269" max="11269" width="7.125" style="1" customWidth="1"/>
    <col min="11270" max="11270" width="5.75" style="1" customWidth="1"/>
    <col min="11271" max="11271" width="15.25" style="1" customWidth="1"/>
    <col min="11272" max="11272" width="23.375" style="1" customWidth="1"/>
    <col min="11273" max="11273" width="8.875" style="1"/>
    <col min="11274" max="11274" width="13.25" style="1" customWidth="1"/>
    <col min="11275" max="11275" width="12.25" style="1" customWidth="1"/>
    <col min="11276" max="11519" width="8.875" style="1"/>
    <col min="11520" max="11520" width="15.75" style="1" customWidth="1"/>
    <col min="11521" max="11521" width="4.75" style="1" customWidth="1"/>
    <col min="11522" max="11522" width="53.25" style="1" customWidth="1"/>
    <col min="11523" max="11523" width="12.75" style="1" customWidth="1"/>
    <col min="11524" max="11524" width="7.875" style="1" customWidth="1"/>
    <col min="11525" max="11525" width="7.125" style="1" customWidth="1"/>
    <col min="11526" max="11526" width="5.75" style="1" customWidth="1"/>
    <col min="11527" max="11527" width="15.25" style="1" customWidth="1"/>
    <col min="11528" max="11528" width="23.375" style="1" customWidth="1"/>
    <col min="11529" max="11529" width="8.875" style="1"/>
    <col min="11530" max="11530" width="13.25" style="1" customWidth="1"/>
    <col min="11531" max="11531" width="12.25" style="1" customWidth="1"/>
    <col min="11532" max="11775" width="8.875" style="1"/>
    <col min="11776" max="11776" width="15.75" style="1" customWidth="1"/>
    <col min="11777" max="11777" width="4.75" style="1" customWidth="1"/>
    <col min="11778" max="11778" width="53.25" style="1" customWidth="1"/>
    <col min="11779" max="11779" width="12.75" style="1" customWidth="1"/>
    <col min="11780" max="11780" width="7.875" style="1" customWidth="1"/>
    <col min="11781" max="11781" width="7.125" style="1" customWidth="1"/>
    <col min="11782" max="11782" width="5.75" style="1" customWidth="1"/>
    <col min="11783" max="11783" width="15.25" style="1" customWidth="1"/>
    <col min="11784" max="11784" width="23.375" style="1" customWidth="1"/>
    <col min="11785" max="11785" width="8.875" style="1"/>
    <col min="11786" max="11786" width="13.25" style="1" customWidth="1"/>
    <col min="11787" max="11787" width="12.25" style="1" customWidth="1"/>
    <col min="11788" max="12031" width="8.875" style="1"/>
    <col min="12032" max="12032" width="15.75" style="1" customWidth="1"/>
    <col min="12033" max="12033" width="4.75" style="1" customWidth="1"/>
    <col min="12034" max="12034" width="53.25" style="1" customWidth="1"/>
    <col min="12035" max="12035" width="12.75" style="1" customWidth="1"/>
    <col min="12036" max="12036" width="7.875" style="1" customWidth="1"/>
    <col min="12037" max="12037" width="7.125" style="1" customWidth="1"/>
    <col min="12038" max="12038" width="5.75" style="1" customWidth="1"/>
    <col min="12039" max="12039" width="15.25" style="1" customWidth="1"/>
    <col min="12040" max="12040" width="23.375" style="1" customWidth="1"/>
    <col min="12041" max="12041" width="8.875" style="1"/>
    <col min="12042" max="12042" width="13.25" style="1" customWidth="1"/>
    <col min="12043" max="12043" width="12.25" style="1" customWidth="1"/>
    <col min="12044" max="12287" width="8.875" style="1"/>
    <col min="12288" max="12288" width="15.75" style="1" customWidth="1"/>
    <col min="12289" max="12289" width="4.75" style="1" customWidth="1"/>
    <col min="12290" max="12290" width="53.25" style="1" customWidth="1"/>
    <col min="12291" max="12291" width="12.75" style="1" customWidth="1"/>
    <col min="12292" max="12292" width="7.875" style="1" customWidth="1"/>
    <col min="12293" max="12293" width="7.125" style="1" customWidth="1"/>
    <col min="12294" max="12294" width="5.75" style="1" customWidth="1"/>
    <col min="12295" max="12295" width="15.25" style="1" customWidth="1"/>
    <col min="12296" max="12296" width="23.375" style="1" customWidth="1"/>
    <col min="12297" max="12297" width="8.875" style="1"/>
    <col min="12298" max="12298" width="13.25" style="1" customWidth="1"/>
    <col min="12299" max="12299" width="12.25" style="1" customWidth="1"/>
    <col min="12300" max="12543" width="8.875" style="1"/>
    <col min="12544" max="12544" width="15.75" style="1" customWidth="1"/>
    <col min="12545" max="12545" width="4.75" style="1" customWidth="1"/>
    <col min="12546" max="12546" width="53.25" style="1" customWidth="1"/>
    <col min="12547" max="12547" width="12.75" style="1" customWidth="1"/>
    <col min="12548" max="12548" width="7.875" style="1" customWidth="1"/>
    <col min="12549" max="12549" width="7.125" style="1" customWidth="1"/>
    <col min="12550" max="12550" width="5.75" style="1" customWidth="1"/>
    <col min="12551" max="12551" width="15.25" style="1" customWidth="1"/>
    <col min="12552" max="12552" width="23.375" style="1" customWidth="1"/>
    <col min="12553" max="12553" width="8.875" style="1"/>
    <col min="12554" max="12554" width="13.25" style="1" customWidth="1"/>
    <col min="12555" max="12555" width="12.25" style="1" customWidth="1"/>
    <col min="12556" max="12799" width="8.875" style="1"/>
    <col min="12800" max="12800" width="15.75" style="1" customWidth="1"/>
    <col min="12801" max="12801" width="4.75" style="1" customWidth="1"/>
    <col min="12802" max="12802" width="53.25" style="1" customWidth="1"/>
    <col min="12803" max="12803" width="12.75" style="1" customWidth="1"/>
    <col min="12804" max="12804" width="7.875" style="1" customWidth="1"/>
    <col min="12805" max="12805" width="7.125" style="1" customWidth="1"/>
    <col min="12806" max="12806" width="5.75" style="1" customWidth="1"/>
    <col min="12807" max="12807" width="15.25" style="1" customWidth="1"/>
    <col min="12808" max="12808" width="23.375" style="1" customWidth="1"/>
    <col min="12809" max="12809" width="8.875" style="1"/>
    <col min="12810" max="12810" width="13.25" style="1" customWidth="1"/>
    <col min="12811" max="12811" width="12.25" style="1" customWidth="1"/>
    <col min="12812" max="13055" width="8.875" style="1"/>
    <col min="13056" max="13056" width="15.75" style="1" customWidth="1"/>
    <col min="13057" max="13057" width="4.75" style="1" customWidth="1"/>
    <col min="13058" max="13058" width="53.25" style="1" customWidth="1"/>
    <col min="13059" max="13059" width="12.75" style="1" customWidth="1"/>
    <col min="13060" max="13060" width="7.875" style="1" customWidth="1"/>
    <col min="13061" max="13061" width="7.125" style="1" customWidth="1"/>
    <col min="13062" max="13062" width="5.75" style="1" customWidth="1"/>
    <col min="13063" max="13063" width="15.25" style="1" customWidth="1"/>
    <col min="13064" max="13064" width="23.375" style="1" customWidth="1"/>
    <col min="13065" max="13065" width="8.875" style="1"/>
    <col min="13066" max="13066" width="13.25" style="1" customWidth="1"/>
    <col min="13067" max="13067" width="12.25" style="1" customWidth="1"/>
    <col min="13068" max="13311" width="8.875" style="1"/>
    <col min="13312" max="13312" width="15.75" style="1" customWidth="1"/>
    <col min="13313" max="13313" width="4.75" style="1" customWidth="1"/>
    <col min="13314" max="13314" width="53.25" style="1" customWidth="1"/>
    <col min="13315" max="13315" width="12.75" style="1" customWidth="1"/>
    <col min="13316" max="13316" width="7.875" style="1" customWidth="1"/>
    <col min="13317" max="13317" width="7.125" style="1" customWidth="1"/>
    <col min="13318" max="13318" width="5.75" style="1" customWidth="1"/>
    <col min="13319" max="13319" width="15.25" style="1" customWidth="1"/>
    <col min="13320" max="13320" width="23.375" style="1" customWidth="1"/>
    <col min="13321" max="13321" width="8.875" style="1"/>
    <col min="13322" max="13322" width="13.25" style="1" customWidth="1"/>
    <col min="13323" max="13323" width="12.25" style="1" customWidth="1"/>
    <col min="13324" max="13567" width="8.875" style="1"/>
    <col min="13568" max="13568" width="15.75" style="1" customWidth="1"/>
    <col min="13569" max="13569" width="4.75" style="1" customWidth="1"/>
    <col min="13570" max="13570" width="53.25" style="1" customWidth="1"/>
    <col min="13571" max="13571" width="12.75" style="1" customWidth="1"/>
    <col min="13572" max="13572" width="7.875" style="1" customWidth="1"/>
    <col min="13573" max="13573" width="7.125" style="1" customWidth="1"/>
    <col min="13574" max="13574" width="5.75" style="1" customWidth="1"/>
    <col min="13575" max="13575" width="15.25" style="1" customWidth="1"/>
    <col min="13576" max="13576" width="23.375" style="1" customWidth="1"/>
    <col min="13577" max="13577" width="8.875" style="1"/>
    <col min="13578" max="13578" width="13.25" style="1" customWidth="1"/>
    <col min="13579" max="13579" width="12.25" style="1" customWidth="1"/>
    <col min="13580" max="13823" width="8.875" style="1"/>
    <col min="13824" max="13824" width="15.75" style="1" customWidth="1"/>
    <col min="13825" max="13825" width="4.75" style="1" customWidth="1"/>
    <col min="13826" max="13826" width="53.25" style="1" customWidth="1"/>
    <col min="13827" max="13827" width="12.75" style="1" customWidth="1"/>
    <col min="13828" max="13828" width="7.875" style="1" customWidth="1"/>
    <col min="13829" max="13829" width="7.125" style="1" customWidth="1"/>
    <col min="13830" max="13830" width="5.75" style="1" customWidth="1"/>
    <col min="13831" max="13831" width="15.25" style="1" customWidth="1"/>
    <col min="13832" max="13832" width="23.375" style="1" customWidth="1"/>
    <col min="13833" max="13833" width="8.875" style="1"/>
    <col min="13834" max="13834" width="13.25" style="1" customWidth="1"/>
    <col min="13835" max="13835" width="12.25" style="1" customWidth="1"/>
    <col min="13836" max="14079" width="8.875" style="1"/>
    <col min="14080" max="14080" width="15.75" style="1" customWidth="1"/>
    <col min="14081" max="14081" width="4.75" style="1" customWidth="1"/>
    <col min="14082" max="14082" width="53.25" style="1" customWidth="1"/>
    <col min="14083" max="14083" width="12.75" style="1" customWidth="1"/>
    <col min="14084" max="14084" width="7.875" style="1" customWidth="1"/>
    <col min="14085" max="14085" width="7.125" style="1" customWidth="1"/>
    <col min="14086" max="14086" width="5.75" style="1" customWidth="1"/>
    <col min="14087" max="14087" width="15.25" style="1" customWidth="1"/>
    <col min="14088" max="14088" width="23.375" style="1" customWidth="1"/>
    <col min="14089" max="14089" width="8.875" style="1"/>
    <col min="14090" max="14090" width="13.25" style="1" customWidth="1"/>
    <col min="14091" max="14091" width="12.25" style="1" customWidth="1"/>
    <col min="14092" max="14335" width="8.875" style="1"/>
    <col min="14336" max="14336" width="15.75" style="1" customWidth="1"/>
    <col min="14337" max="14337" width="4.75" style="1" customWidth="1"/>
    <col min="14338" max="14338" width="53.25" style="1" customWidth="1"/>
    <col min="14339" max="14339" width="12.75" style="1" customWidth="1"/>
    <col min="14340" max="14340" width="7.875" style="1" customWidth="1"/>
    <col min="14341" max="14341" width="7.125" style="1" customWidth="1"/>
    <col min="14342" max="14342" width="5.75" style="1" customWidth="1"/>
    <col min="14343" max="14343" width="15.25" style="1" customWidth="1"/>
    <col min="14344" max="14344" width="23.375" style="1" customWidth="1"/>
    <col min="14345" max="14345" width="8.875" style="1"/>
    <col min="14346" max="14346" width="13.25" style="1" customWidth="1"/>
    <col min="14347" max="14347" width="12.25" style="1" customWidth="1"/>
    <col min="14348" max="14591" width="8.875" style="1"/>
    <col min="14592" max="14592" width="15.75" style="1" customWidth="1"/>
    <col min="14593" max="14593" width="4.75" style="1" customWidth="1"/>
    <col min="14594" max="14594" width="53.25" style="1" customWidth="1"/>
    <col min="14595" max="14595" width="12.75" style="1" customWidth="1"/>
    <col min="14596" max="14596" width="7.875" style="1" customWidth="1"/>
    <col min="14597" max="14597" width="7.125" style="1" customWidth="1"/>
    <col min="14598" max="14598" width="5.75" style="1" customWidth="1"/>
    <col min="14599" max="14599" width="15.25" style="1" customWidth="1"/>
    <col min="14600" max="14600" width="23.375" style="1" customWidth="1"/>
    <col min="14601" max="14601" width="8.875" style="1"/>
    <col min="14602" max="14602" width="13.25" style="1" customWidth="1"/>
    <col min="14603" max="14603" width="12.25" style="1" customWidth="1"/>
    <col min="14604" max="14847" width="8.875" style="1"/>
    <col min="14848" max="14848" width="15.75" style="1" customWidth="1"/>
    <col min="14849" max="14849" width="4.75" style="1" customWidth="1"/>
    <col min="14850" max="14850" width="53.25" style="1" customWidth="1"/>
    <col min="14851" max="14851" width="12.75" style="1" customWidth="1"/>
    <col min="14852" max="14852" width="7.875" style="1" customWidth="1"/>
    <col min="14853" max="14853" width="7.125" style="1" customWidth="1"/>
    <col min="14854" max="14854" width="5.75" style="1" customWidth="1"/>
    <col min="14855" max="14855" width="15.25" style="1" customWidth="1"/>
    <col min="14856" max="14856" width="23.375" style="1" customWidth="1"/>
    <col min="14857" max="14857" width="8.875" style="1"/>
    <col min="14858" max="14858" width="13.25" style="1" customWidth="1"/>
    <col min="14859" max="14859" width="12.25" style="1" customWidth="1"/>
    <col min="14860" max="15103" width="8.875" style="1"/>
    <col min="15104" max="15104" width="15.75" style="1" customWidth="1"/>
    <col min="15105" max="15105" width="4.75" style="1" customWidth="1"/>
    <col min="15106" max="15106" width="53.25" style="1" customWidth="1"/>
    <col min="15107" max="15107" width="12.75" style="1" customWidth="1"/>
    <col min="15108" max="15108" width="7.875" style="1" customWidth="1"/>
    <col min="15109" max="15109" width="7.125" style="1" customWidth="1"/>
    <col min="15110" max="15110" width="5.75" style="1" customWidth="1"/>
    <col min="15111" max="15111" width="15.25" style="1" customWidth="1"/>
    <col min="15112" max="15112" width="23.375" style="1" customWidth="1"/>
    <col min="15113" max="15113" width="8.875" style="1"/>
    <col min="15114" max="15114" width="13.25" style="1" customWidth="1"/>
    <col min="15115" max="15115" width="12.25" style="1" customWidth="1"/>
    <col min="15116" max="15359" width="8.875" style="1"/>
    <col min="15360" max="15360" width="15.75" style="1" customWidth="1"/>
    <col min="15361" max="15361" width="4.75" style="1" customWidth="1"/>
    <col min="15362" max="15362" width="53.25" style="1" customWidth="1"/>
    <col min="15363" max="15363" width="12.75" style="1" customWidth="1"/>
    <col min="15364" max="15364" width="7.875" style="1" customWidth="1"/>
    <col min="15365" max="15365" width="7.125" style="1" customWidth="1"/>
    <col min="15366" max="15366" width="5.75" style="1" customWidth="1"/>
    <col min="15367" max="15367" width="15.25" style="1" customWidth="1"/>
    <col min="15368" max="15368" width="23.375" style="1" customWidth="1"/>
    <col min="15369" max="15369" width="8.875" style="1"/>
    <col min="15370" max="15370" width="13.25" style="1" customWidth="1"/>
    <col min="15371" max="15371" width="12.25" style="1" customWidth="1"/>
    <col min="15372" max="15615" width="8.875" style="1"/>
    <col min="15616" max="15616" width="15.75" style="1" customWidth="1"/>
    <col min="15617" max="15617" width="4.75" style="1" customWidth="1"/>
    <col min="15618" max="15618" width="53.25" style="1" customWidth="1"/>
    <col min="15619" max="15619" width="12.75" style="1" customWidth="1"/>
    <col min="15620" max="15620" width="7.875" style="1" customWidth="1"/>
    <col min="15621" max="15621" width="7.125" style="1" customWidth="1"/>
    <col min="15622" max="15622" width="5.75" style="1" customWidth="1"/>
    <col min="15623" max="15623" width="15.25" style="1" customWidth="1"/>
    <col min="15624" max="15624" width="23.375" style="1" customWidth="1"/>
    <col min="15625" max="15625" width="8.875" style="1"/>
    <col min="15626" max="15626" width="13.25" style="1" customWidth="1"/>
    <col min="15627" max="15627" width="12.25" style="1" customWidth="1"/>
    <col min="15628" max="15871" width="8.875" style="1"/>
    <col min="15872" max="15872" width="15.75" style="1" customWidth="1"/>
    <col min="15873" max="15873" width="4.75" style="1" customWidth="1"/>
    <col min="15874" max="15874" width="53.25" style="1" customWidth="1"/>
    <col min="15875" max="15875" width="12.75" style="1" customWidth="1"/>
    <col min="15876" max="15876" width="7.875" style="1" customWidth="1"/>
    <col min="15877" max="15877" width="7.125" style="1" customWidth="1"/>
    <col min="15878" max="15878" width="5.75" style="1" customWidth="1"/>
    <col min="15879" max="15879" width="15.25" style="1" customWidth="1"/>
    <col min="15880" max="15880" width="23.375" style="1" customWidth="1"/>
    <col min="15881" max="15881" width="8.875" style="1"/>
    <col min="15882" max="15882" width="13.25" style="1" customWidth="1"/>
    <col min="15883" max="15883" width="12.25" style="1" customWidth="1"/>
    <col min="15884" max="16127" width="8.875" style="1"/>
    <col min="16128" max="16128" width="15.75" style="1" customWidth="1"/>
    <col min="16129" max="16129" width="4.75" style="1" customWidth="1"/>
    <col min="16130" max="16130" width="53.25" style="1" customWidth="1"/>
    <col min="16131" max="16131" width="12.75" style="1" customWidth="1"/>
    <col min="16132" max="16132" width="7.875" style="1" customWidth="1"/>
    <col min="16133" max="16133" width="7.125" style="1" customWidth="1"/>
    <col min="16134" max="16134" width="5.75" style="1" customWidth="1"/>
    <col min="16135" max="16135" width="15.25" style="1" customWidth="1"/>
    <col min="16136" max="16136" width="23.375" style="1" customWidth="1"/>
    <col min="16137" max="16137" width="8.875" style="1"/>
    <col min="16138" max="16138" width="13.25" style="1" customWidth="1"/>
    <col min="16139" max="16139" width="12.25" style="1" customWidth="1"/>
    <col min="16140" max="16384" width="8.875" style="1"/>
  </cols>
  <sheetData>
    <row r="1" spans="1:11" ht="18.75" customHeight="1">
      <c r="A1" s="1374" t="s">
        <v>1024</v>
      </c>
      <c r="B1" s="1374"/>
      <c r="C1" s="1374"/>
      <c r="D1" s="1374"/>
      <c r="E1" s="1374"/>
      <c r="F1" s="1374"/>
      <c r="G1" s="1374"/>
      <c r="H1" s="1374"/>
      <c r="I1" s="220"/>
      <c r="J1" s="220"/>
    </row>
    <row r="2" spans="1:11" ht="18.75" customHeight="1">
      <c r="A2" s="1375" t="s">
        <v>0</v>
      </c>
      <c r="B2" s="1376"/>
      <c r="C2" s="1376"/>
      <c r="D2" s="1376"/>
      <c r="E2" s="1376"/>
      <c r="F2" s="1376"/>
      <c r="G2" s="1376"/>
      <c r="H2" s="1376"/>
      <c r="I2" s="220"/>
      <c r="J2" s="220"/>
    </row>
    <row r="3" spans="1:11" ht="18.75" customHeight="1">
      <c r="A3" s="1375" t="s">
        <v>991</v>
      </c>
      <c r="B3" s="1376"/>
      <c r="C3" s="1376"/>
      <c r="D3" s="1376"/>
      <c r="E3" s="1376"/>
      <c r="F3" s="1376"/>
      <c r="G3" s="1376"/>
      <c r="H3" s="1376"/>
    </row>
    <row r="4" spans="1:11" ht="1.9" customHeight="1">
      <c r="A4" s="221"/>
      <c r="B4" s="222"/>
      <c r="C4" s="222"/>
      <c r="D4" s="222"/>
      <c r="E4" s="222"/>
      <c r="F4" s="222"/>
      <c r="G4" s="222"/>
      <c r="H4" s="222"/>
    </row>
    <row r="5" spans="1:11" ht="20.25" customHeight="1">
      <c r="A5" s="2" t="s">
        <v>6</v>
      </c>
      <c r="B5" s="2"/>
      <c r="C5" s="2"/>
      <c r="D5" s="3" t="s">
        <v>78</v>
      </c>
      <c r="E5" s="4" t="s">
        <v>79</v>
      </c>
      <c r="F5" s="1372" t="s">
        <v>80</v>
      </c>
      <c r="G5" s="1373"/>
      <c r="H5" s="4" t="s">
        <v>81</v>
      </c>
    </row>
    <row r="6" spans="1:11" ht="20.25" customHeight="1">
      <c r="A6" s="5"/>
      <c r="B6" s="5"/>
      <c r="C6" s="5"/>
      <c r="D6" s="3" t="s">
        <v>83</v>
      </c>
      <c r="E6" s="6" t="s">
        <v>84</v>
      </c>
      <c r="F6" s="6" t="s">
        <v>85</v>
      </c>
      <c r="G6" s="6" t="s">
        <v>86</v>
      </c>
      <c r="H6" s="6" t="s">
        <v>2</v>
      </c>
    </row>
    <row r="7" spans="1:11" ht="20.25" customHeight="1">
      <c r="A7" s="2" t="s">
        <v>87</v>
      </c>
      <c r="B7" s="5"/>
      <c r="C7" s="5"/>
      <c r="D7" s="7"/>
      <c r="E7" s="6"/>
      <c r="F7" s="6"/>
      <c r="G7" s="6"/>
      <c r="H7" s="825">
        <f>H8+H20</f>
        <v>2075000</v>
      </c>
    </row>
    <row r="8" spans="1:11" ht="20.25" customHeight="1">
      <c r="A8" s="2" t="s">
        <v>1074</v>
      </c>
      <c r="B8" s="5"/>
      <c r="C8" s="5"/>
      <c r="D8" s="7"/>
      <c r="E8" s="6"/>
      <c r="F8" s="6"/>
      <c r="G8" s="6"/>
      <c r="H8" s="825">
        <f>SUM(H9:H17)</f>
        <v>1940000</v>
      </c>
    </row>
    <row r="9" spans="1:11" ht="20.25" customHeight="1">
      <c r="A9" s="5"/>
      <c r="B9" s="6">
        <v>1</v>
      </c>
      <c r="C9" s="5" t="s">
        <v>88</v>
      </c>
      <c r="D9" s="7">
        <v>60000</v>
      </c>
      <c r="E9" s="6">
        <v>1</v>
      </c>
      <c r="F9" s="6">
        <v>9</v>
      </c>
      <c r="G9" s="6"/>
      <c r="H9" s="8">
        <v>540000</v>
      </c>
      <c r="J9" s="9"/>
      <c r="K9" s="9"/>
    </row>
    <row r="10" spans="1:11" ht="36" customHeight="1">
      <c r="A10" s="5"/>
      <c r="B10" s="6"/>
      <c r="C10" s="10" t="s">
        <v>89</v>
      </c>
      <c r="D10" s="7"/>
      <c r="E10" s="6"/>
      <c r="F10" s="6"/>
      <c r="G10" s="6"/>
      <c r="H10" s="8"/>
    </row>
    <row r="11" spans="1:11" ht="40.5" customHeight="1">
      <c r="A11" s="5"/>
      <c r="B11" s="6">
        <v>2</v>
      </c>
      <c r="C11" s="10" t="s">
        <v>90</v>
      </c>
      <c r="D11" s="7">
        <v>50000</v>
      </c>
      <c r="E11" s="6">
        <v>1</v>
      </c>
      <c r="F11" s="6">
        <v>6</v>
      </c>
      <c r="G11" s="6"/>
      <c r="H11" s="8">
        <f>F11*E11*D11</f>
        <v>300000</v>
      </c>
    </row>
    <row r="12" spans="1:11" ht="37.15" customHeight="1">
      <c r="A12" s="5"/>
      <c r="B12" s="6"/>
      <c r="C12" s="10" t="s">
        <v>91</v>
      </c>
      <c r="D12" s="7"/>
      <c r="E12" s="6"/>
      <c r="F12" s="6"/>
      <c r="G12" s="6"/>
      <c r="H12" s="8"/>
    </row>
    <row r="13" spans="1:11" ht="20.25" customHeight="1">
      <c r="A13" s="5"/>
      <c r="B13" s="6">
        <v>3</v>
      </c>
      <c r="C13" s="5" t="s">
        <v>92</v>
      </c>
      <c r="D13" s="7">
        <v>35000</v>
      </c>
      <c r="E13" s="6">
        <v>2</v>
      </c>
      <c r="F13" s="6">
        <v>5</v>
      </c>
      <c r="G13" s="6"/>
      <c r="H13" s="8">
        <f>F13*E13*D13</f>
        <v>350000</v>
      </c>
    </row>
    <row r="14" spans="1:11" ht="20.25" customHeight="1">
      <c r="A14" s="5"/>
      <c r="B14" s="6"/>
      <c r="C14" s="11" t="s">
        <v>93</v>
      </c>
      <c r="D14" s="7"/>
      <c r="E14" s="6"/>
      <c r="F14" s="6"/>
      <c r="G14" s="6"/>
      <c r="H14" s="8"/>
    </row>
    <row r="15" spans="1:11" ht="20.25" customHeight="1">
      <c r="A15" s="5"/>
      <c r="B15" s="6">
        <v>4</v>
      </c>
      <c r="C15" s="5" t="s">
        <v>94</v>
      </c>
      <c r="D15" s="7">
        <v>35000</v>
      </c>
      <c r="E15" s="6">
        <v>2</v>
      </c>
      <c r="F15" s="6">
        <v>5</v>
      </c>
      <c r="G15" s="6"/>
      <c r="H15" s="8">
        <f>F15*E15*D15</f>
        <v>350000</v>
      </c>
    </row>
    <row r="16" spans="1:11" ht="20.25" customHeight="1">
      <c r="A16" s="5"/>
      <c r="B16" s="6"/>
      <c r="C16" s="12" t="s">
        <v>95</v>
      </c>
      <c r="D16" s="7"/>
      <c r="E16" s="6"/>
      <c r="F16" s="6"/>
      <c r="G16" s="6"/>
      <c r="H16" s="8"/>
    </row>
    <row r="17" spans="1:10" ht="20.25" customHeight="1">
      <c r="A17" s="5"/>
      <c r="B17" s="6">
        <v>5</v>
      </c>
      <c r="C17" s="12" t="s">
        <v>96</v>
      </c>
      <c r="D17" s="7">
        <v>25000</v>
      </c>
      <c r="E17" s="6">
        <v>4</v>
      </c>
      <c r="F17" s="6">
        <v>4</v>
      </c>
      <c r="G17" s="6"/>
      <c r="H17" s="8">
        <f>D17*E17*F17</f>
        <v>400000</v>
      </c>
    </row>
    <row r="18" spans="1:10" ht="36.6" customHeight="1">
      <c r="A18" s="5"/>
      <c r="B18" s="5"/>
      <c r="C18" s="13" t="s">
        <v>97</v>
      </c>
      <c r="D18" s="7"/>
      <c r="E18" s="6"/>
      <c r="F18" s="6"/>
      <c r="G18" s="6"/>
      <c r="H18" s="8"/>
    </row>
    <row r="19" spans="1:10" ht="20.25" customHeight="1">
      <c r="A19" s="5"/>
      <c r="B19" s="5"/>
      <c r="C19" s="12"/>
      <c r="D19" s="7"/>
      <c r="E19" s="6"/>
      <c r="F19" s="6"/>
      <c r="G19" s="6"/>
      <c r="H19" s="8"/>
    </row>
    <row r="20" spans="1:10" ht="20.25" customHeight="1">
      <c r="A20" s="2" t="s">
        <v>1073</v>
      </c>
      <c r="B20" s="5"/>
      <c r="C20" s="5"/>
      <c r="D20" s="7"/>
      <c r="E20" s="6"/>
      <c r="F20" s="6"/>
      <c r="G20" s="6"/>
      <c r="H20" s="821">
        <f>H21</f>
        <v>135000</v>
      </c>
    </row>
    <row r="21" spans="1:10" ht="20.25" customHeight="1">
      <c r="A21" s="5"/>
      <c r="B21" s="4">
        <v>6</v>
      </c>
      <c r="C21" s="5" t="s">
        <v>9</v>
      </c>
      <c r="D21" s="7">
        <v>15000</v>
      </c>
      <c r="E21" s="6">
        <v>1</v>
      </c>
      <c r="F21" s="14">
        <v>9</v>
      </c>
      <c r="G21" s="14"/>
      <c r="H21" s="8">
        <v>135000</v>
      </c>
      <c r="J21" s="15"/>
    </row>
    <row r="22" spans="1:10" ht="20.25" customHeight="1">
      <c r="A22" s="5"/>
      <c r="B22" s="6"/>
      <c r="C22" s="5"/>
      <c r="D22" s="7"/>
      <c r="E22" s="6"/>
      <c r="F22" s="14"/>
      <c r="G22" s="14"/>
      <c r="H22" s="16"/>
      <c r="J22" s="15"/>
    </row>
    <row r="23" spans="1:10" ht="20.25" customHeight="1">
      <c r="A23" s="2" t="s">
        <v>1072</v>
      </c>
      <c r="B23" s="6"/>
      <c r="C23" s="5"/>
      <c r="D23" s="7"/>
      <c r="E23" s="6"/>
      <c r="F23" s="14"/>
      <c r="G23" s="14"/>
      <c r="H23" s="821">
        <f>H24+H42+H48+H62+H65+H71</f>
        <v>2425000</v>
      </c>
      <c r="J23" s="15"/>
    </row>
    <row r="24" spans="1:10" ht="112.5" customHeight="1">
      <c r="A24" s="2"/>
      <c r="B24" s="1136">
        <v>7</v>
      </c>
      <c r="C24" s="1143" t="s">
        <v>1728</v>
      </c>
      <c r="D24" s="3"/>
      <c r="E24" s="4"/>
      <c r="F24" s="4"/>
      <c r="G24" s="4"/>
      <c r="H24" s="821">
        <f>H30+H32+H38+H40</f>
        <v>468500</v>
      </c>
      <c r="J24" s="9"/>
    </row>
    <row r="25" spans="1:10" ht="20.25" customHeight="1">
      <c r="A25" s="2"/>
      <c r="B25" s="5"/>
      <c r="C25" s="223" t="s">
        <v>1722</v>
      </c>
      <c r="D25" s="7"/>
      <c r="E25" s="6"/>
      <c r="F25" s="6"/>
      <c r="G25" s="6"/>
      <c r="H25" s="8"/>
      <c r="J25" s="9"/>
    </row>
    <row r="26" spans="1:10" ht="20.25" customHeight="1">
      <c r="A26" s="2"/>
      <c r="B26" s="5"/>
      <c r="C26" s="224" t="s">
        <v>116</v>
      </c>
      <c r="D26" s="7">
        <v>4500</v>
      </c>
      <c r="E26" s="6">
        <v>1</v>
      </c>
      <c r="F26" s="6"/>
      <c r="G26" s="6"/>
      <c r="H26" s="8">
        <f>E26*D26</f>
        <v>4500</v>
      </c>
      <c r="J26" s="823"/>
    </row>
    <row r="27" spans="1:10" ht="20.25" customHeight="1">
      <c r="A27" s="2"/>
      <c r="B27" s="5"/>
      <c r="C27" s="17" t="s">
        <v>1068</v>
      </c>
      <c r="D27" s="7">
        <v>100</v>
      </c>
      <c r="E27" s="6">
        <v>100</v>
      </c>
      <c r="F27" s="6"/>
      <c r="G27" s="6"/>
      <c r="H27" s="8">
        <f>E27*D27</f>
        <v>10000</v>
      </c>
      <c r="J27" s="9"/>
    </row>
    <row r="28" spans="1:10" ht="20.25" customHeight="1">
      <c r="A28" s="2"/>
      <c r="B28" s="5"/>
      <c r="C28" s="17" t="s">
        <v>1067</v>
      </c>
      <c r="D28" s="7">
        <v>300</v>
      </c>
      <c r="E28" s="6">
        <v>100</v>
      </c>
      <c r="F28" s="6"/>
      <c r="G28" s="6"/>
      <c r="H28" s="8">
        <f>E28*D28</f>
        <v>30000</v>
      </c>
      <c r="J28" s="9"/>
    </row>
    <row r="29" spans="1:10" ht="20.25" customHeight="1">
      <c r="A29" s="2"/>
      <c r="B29" s="5"/>
      <c r="C29" s="224" t="s">
        <v>1704</v>
      </c>
      <c r="D29" s="7">
        <v>100</v>
      </c>
      <c r="E29" s="6">
        <v>100</v>
      </c>
      <c r="F29" s="6"/>
      <c r="G29" s="6"/>
      <c r="H29" s="8">
        <v>10000</v>
      </c>
      <c r="J29" s="9"/>
    </row>
    <row r="30" spans="1:10" ht="20.25" customHeight="1">
      <c r="A30" s="2"/>
      <c r="B30" s="5"/>
      <c r="C30" s="225"/>
      <c r="D30" s="7"/>
      <c r="E30" s="6"/>
      <c r="F30" s="6"/>
      <c r="G30" s="6"/>
      <c r="H30" s="821">
        <f>SUM(H26:H29)</f>
        <v>54500</v>
      </c>
      <c r="J30" s="9"/>
    </row>
    <row r="31" spans="1:10" ht="20.25" customHeight="1">
      <c r="A31" s="2"/>
      <c r="B31" s="5"/>
      <c r="C31" s="17" t="s">
        <v>1070</v>
      </c>
      <c r="D31" s="7">
        <v>300</v>
      </c>
      <c r="E31" s="6">
        <v>50</v>
      </c>
      <c r="F31" s="6"/>
      <c r="G31" s="6"/>
      <c r="H31" s="8">
        <v>15000</v>
      </c>
      <c r="J31" s="9"/>
    </row>
    <row r="32" spans="1:10" ht="20.25" customHeight="1">
      <c r="A32" s="2"/>
      <c r="B32" s="5"/>
      <c r="C32" s="17"/>
      <c r="D32" s="7"/>
      <c r="E32" s="6"/>
      <c r="F32" s="6"/>
      <c r="G32" s="6"/>
      <c r="H32" s="821">
        <v>15000</v>
      </c>
      <c r="J32" s="9"/>
    </row>
    <row r="33" spans="1:10" ht="20.25" customHeight="1">
      <c r="A33" s="2"/>
      <c r="B33" s="5"/>
      <c r="C33" s="17" t="s">
        <v>1071</v>
      </c>
      <c r="D33" s="7"/>
      <c r="E33" s="6"/>
      <c r="F33" s="6"/>
      <c r="G33" s="6"/>
      <c r="H33" s="8"/>
      <c r="J33" s="9"/>
    </row>
    <row r="34" spans="1:10" ht="20.25" customHeight="1">
      <c r="A34" s="2"/>
      <c r="B34" s="5"/>
      <c r="C34" s="17" t="s">
        <v>116</v>
      </c>
      <c r="D34" s="7">
        <v>46000</v>
      </c>
      <c r="E34" s="6">
        <v>4</v>
      </c>
      <c r="F34" s="6"/>
      <c r="G34" s="6"/>
      <c r="H34" s="8">
        <f>D34*E34</f>
        <v>184000</v>
      </c>
      <c r="I34" s="26"/>
      <c r="J34" s="824"/>
    </row>
    <row r="35" spans="1:10" ht="20.25" customHeight="1">
      <c r="A35" s="2"/>
      <c r="B35" s="5"/>
      <c r="C35" s="17" t="s">
        <v>1068</v>
      </c>
      <c r="D35" s="7">
        <v>100</v>
      </c>
      <c r="E35" s="6">
        <v>400</v>
      </c>
      <c r="F35" s="6"/>
      <c r="G35" s="6"/>
      <c r="H35" s="8">
        <f>E35*D35</f>
        <v>40000</v>
      </c>
      <c r="J35" s="9"/>
    </row>
    <row r="36" spans="1:10" ht="20.25" customHeight="1">
      <c r="A36" s="2"/>
      <c r="B36" s="5"/>
      <c r="C36" s="17" t="s">
        <v>1067</v>
      </c>
      <c r="D36" s="7">
        <v>300</v>
      </c>
      <c r="E36" s="6">
        <v>400</v>
      </c>
      <c r="F36" s="6"/>
      <c r="G36" s="6"/>
      <c r="H36" s="8">
        <f>E36*D36</f>
        <v>120000</v>
      </c>
      <c r="J36" s="9"/>
    </row>
    <row r="37" spans="1:10" ht="20.25" customHeight="1">
      <c r="A37" s="2"/>
      <c r="B37" s="5"/>
      <c r="C37" s="17" t="s">
        <v>99</v>
      </c>
      <c r="D37" s="7">
        <v>100</v>
      </c>
      <c r="E37" s="6">
        <v>400</v>
      </c>
      <c r="F37" s="6"/>
      <c r="G37" s="6"/>
      <c r="H37" s="8">
        <v>40000</v>
      </c>
      <c r="J37" s="9"/>
    </row>
    <row r="38" spans="1:10" ht="20.25" customHeight="1">
      <c r="A38" s="2"/>
      <c r="B38" s="5"/>
      <c r="C38" s="17"/>
      <c r="D38" s="7"/>
      <c r="E38" s="6"/>
      <c r="F38" s="6"/>
      <c r="G38" s="6"/>
      <c r="H38" s="821">
        <f>SUM(H34:H37)</f>
        <v>384000</v>
      </c>
      <c r="J38" s="9"/>
    </row>
    <row r="39" spans="1:10" ht="20.25" customHeight="1">
      <c r="A39" s="2"/>
      <c r="B39" s="5"/>
      <c r="C39" s="17" t="s">
        <v>1727</v>
      </c>
      <c r="D39" s="7">
        <v>300</v>
      </c>
      <c r="E39" s="6">
        <v>50</v>
      </c>
      <c r="F39" s="6"/>
      <c r="G39" s="6"/>
      <c r="H39" s="8">
        <v>15000</v>
      </c>
      <c r="J39" s="9"/>
    </row>
    <row r="40" spans="1:10" ht="19.5" customHeight="1">
      <c r="A40" s="2"/>
      <c r="B40" s="5"/>
      <c r="C40" s="1135"/>
      <c r="D40" s="7"/>
      <c r="E40" s="6"/>
      <c r="F40" s="6"/>
      <c r="G40" s="6"/>
      <c r="H40" s="821">
        <v>15000</v>
      </c>
      <c r="J40" s="9"/>
    </row>
    <row r="41" spans="1:10" ht="20.25" customHeight="1">
      <c r="A41" s="2"/>
      <c r="B41" s="5"/>
      <c r="C41" s="17"/>
      <c r="D41" s="7"/>
      <c r="E41" s="6"/>
      <c r="F41" s="6"/>
      <c r="G41" s="6"/>
      <c r="H41" s="16"/>
      <c r="J41" s="9"/>
    </row>
    <row r="42" spans="1:10" ht="123.75" customHeight="1">
      <c r="A42" s="5"/>
      <c r="B42" s="1136">
        <v>8</v>
      </c>
      <c r="C42" s="1144" t="s">
        <v>1723</v>
      </c>
      <c r="D42" s="3"/>
      <c r="E42" s="4"/>
      <c r="F42" s="822"/>
      <c r="G42" s="822"/>
      <c r="H42" s="821">
        <f>SUM(H43:H46)</f>
        <v>810000</v>
      </c>
      <c r="J42" s="9"/>
    </row>
    <row r="43" spans="1:10" ht="39" customHeight="1">
      <c r="A43" s="5"/>
      <c r="B43" s="5"/>
      <c r="C43" s="1135" t="s">
        <v>1808</v>
      </c>
      <c r="D43" s="7">
        <v>1000</v>
      </c>
      <c r="E43" s="6">
        <v>4</v>
      </c>
      <c r="F43" s="14"/>
      <c r="G43" s="14">
        <v>60</v>
      </c>
      <c r="H43" s="8">
        <f>D43*E43*G43</f>
        <v>240000</v>
      </c>
      <c r="J43" s="824"/>
    </row>
    <row r="44" spans="1:10" ht="20.25" customHeight="1">
      <c r="A44" s="5"/>
      <c r="B44" s="5"/>
      <c r="C44" s="17" t="s">
        <v>121</v>
      </c>
      <c r="D44" s="7">
        <v>1200</v>
      </c>
      <c r="E44" s="6">
        <v>4</v>
      </c>
      <c r="F44" s="14"/>
      <c r="G44" s="14">
        <v>50</v>
      </c>
      <c r="H44" s="8">
        <f>D44*E44*G44</f>
        <v>240000</v>
      </c>
    </row>
    <row r="45" spans="1:10" ht="20.25" customHeight="1">
      <c r="A45" s="5"/>
      <c r="B45" s="5"/>
      <c r="C45" s="17" t="s">
        <v>1069</v>
      </c>
      <c r="D45" s="7">
        <v>2250</v>
      </c>
      <c r="E45" s="6"/>
      <c r="F45" s="14"/>
      <c r="G45" s="14">
        <v>40</v>
      </c>
      <c r="H45" s="8">
        <f>G45*D45</f>
        <v>90000</v>
      </c>
    </row>
    <row r="46" spans="1:10" ht="39" customHeight="1">
      <c r="A46" s="5"/>
      <c r="B46" s="1136"/>
      <c r="C46" s="1314" t="s">
        <v>1809</v>
      </c>
      <c r="D46" s="19">
        <v>3000</v>
      </c>
      <c r="E46" s="20">
        <v>80</v>
      </c>
      <c r="F46" s="21"/>
      <c r="G46" s="14"/>
      <c r="H46" s="8">
        <f>E46*D46</f>
        <v>240000</v>
      </c>
      <c r="J46" s="1138"/>
    </row>
    <row r="47" spans="1:10" ht="24" customHeight="1">
      <c r="A47" s="5"/>
      <c r="B47" s="1136"/>
      <c r="C47" s="10"/>
      <c r="D47" s="19"/>
      <c r="E47" s="20"/>
      <c r="F47" s="21"/>
      <c r="G47" s="14"/>
      <c r="H47" s="8"/>
    </row>
    <row r="48" spans="1:10" s="1156" customFormat="1" ht="55.5" customHeight="1">
      <c r="A48" s="1149"/>
      <c r="B48" s="1150">
        <v>9</v>
      </c>
      <c r="C48" s="1151" t="s">
        <v>1725</v>
      </c>
      <c r="D48" s="1152"/>
      <c r="E48" s="1153" t="s">
        <v>1724</v>
      </c>
      <c r="F48" s="1152"/>
      <c r="G48" s="1154"/>
      <c r="H48" s="1155">
        <f>H60*3</f>
        <v>1020000</v>
      </c>
    </row>
    <row r="49" spans="1:8" ht="20.25" customHeight="1">
      <c r="A49" s="5"/>
      <c r="B49" s="2"/>
      <c r="C49" s="5" t="s">
        <v>1706</v>
      </c>
      <c r="D49" s="1141">
        <v>30000</v>
      </c>
      <c r="E49" s="1142" t="s">
        <v>1717</v>
      </c>
      <c r="F49" s="831"/>
      <c r="G49" s="822"/>
      <c r="H49" s="1140">
        <v>30000</v>
      </c>
    </row>
    <row r="50" spans="1:8" ht="20.25" customHeight="1">
      <c r="A50" s="5"/>
      <c r="B50" s="2"/>
      <c r="C50" s="5" t="s">
        <v>1707</v>
      </c>
      <c r="D50" s="1141">
        <v>100000</v>
      </c>
      <c r="E50" s="1142" t="s">
        <v>1717</v>
      </c>
      <c r="F50" s="831"/>
      <c r="G50" s="822"/>
      <c r="H50" s="1140">
        <v>100000</v>
      </c>
    </row>
    <row r="51" spans="1:8" ht="20.25" customHeight="1">
      <c r="A51" s="5"/>
      <c r="B51" s="2"/>
      <c r="C51" s="1139" t="s">
        <v>1708</v>
      </c>
      <c r="D51" s="1141">
        <v>20000</v>
      </c>
      <c r="E51" s="1142" t="s">
        <v>1718</v>
      </c>
      <c r="F51" s="831"/>
      <c r="G51" s="822"/>
      <c r="H51" s="1140">
        <v>60000</v>
      </c>
    </row>
    <row r="52" spans="1:8" ht="20.25" customHeight="1">
      <c r="A52" s="5"/>
      <c r="B52" s="2"/>
      <c r="C52" s="1139" t="s">
        <v>1709</v>
      </c>
      <c r="D52" s="1141">
        <v>20000</v>
      </c>
      <c r="E52" s="1142" t="s">
        <v>1719</v>
      </c>
      <c r="F52" s="831"/>
      <c r="G52" s="822"/>
      <c r="H52" s="1140">
        <v>40000</v>
      </c>
    </row>
    <row r="53" spans="1:8" ht="20.25" customHeight="1">
      <c r="A53" s="5"/>
      <c r="B53" s="2"/>
      <c r="C53" s="1148" t="s">
        <v>1710</v>
      </c>
      <c r="D53" s="1141">
        <v>20000</v>
      </c>
      <c r="E53" s="1142" t="s">
        <v>1720</v>
      </c>
      <c r="F53" s="831"/>
      <c r="G53" s="822"/>
      <c r="H53" s="1140">
        <v>20000</v>
      </c>
    </row>
    <row r="54" spans="1:8" ht="20.25" customHeight="1">
      <c r="A54" s="5"/>
      <c r="B54" s="2"/>
      <c r="C54" s="1139" t="s">
        <v>1711</v>
      </c>
      <c r="D54" s="1141">
        <v>20000</v>
      </c>
      <c r="E54" s="1142" t="s">
        <v>1721</v>
      </c>
      <c r="F54" s="831"/>
      <c r="G54" s="822"/>
      <c r="H54" s="1140">
        <v>20000</v>
      </c>
    </row>
    <row r="55" spans="1:8" ht="20.25" customHeight="1">
      <c r="A55" s="5"/>
      <c r="B55" s="2"/>
      <c r="C55" s="1139" t="s">
        <v>1712</v>
      </c>
      <c r="D55" s="1141">
        <v>20000</v>
      </c>
      <c r="E55" s="1142" t="s">
        <v>1721</v>
      </c>
      <c r="F55" s="831"/>
      <c r="G55" s="822"/>
      <c r="H55" s="1140">
        <v>20000</v>
      </c>
    </row>
    <row r="56" spans="1:8" ht="20.25" customHeight="1">
      <c r="A56" s="5"/>
      <c r="B56" s="2"/>
      <c r="C56" s="1139" t="s">
        <v>1713</v>
      </c>
      <c r="D56" s="1141">
        <v>5000</v>
      </c>
      <c r="E56" s="1142" t="s">
        <v>1720</v>
      </c>
      <c r="F56" s="831"/>
      <c r="G56" s="822"/>
      <c r="H56" s="1140">
        <v>5000</v>
      </c>
    </row>
    <row r="57" spans="1:8" ht="20.25" customHeight="1">
      <c r="A57" s="5"/>
      <c r="B57" s="2"/>
      <c r="C57" s="1139" t="s">
        <v>1714</v>
      </c>
      <c r="D57" s="1141">
        <v>5000</v>
      </c>
      <c r="E57" s="1142" t="s">
        <v>1717</v>
      </c>
      <c r="F57" s="831"/>
      <c r="G57" s="822"/>
      <c r="H57" s="1140">
        <v>5000</v>
      </c>
    </row>
    <row r="58" spans="1:8" ht="20.25" customHeight="1">
      <c r="A58" s="5"/>
      <c r="B58" s="2"/>
      <c r="C58" s="1139" t="s">
        <v>1715</v>
      </c>
      <c r="D58" s="1141">
        <v>20000</v>
      </c>
      <c r="E58" s="1142" t="s">
        <v>1717</v>
      </c>
      <c r="F58" s="831"/>
      <c r="G58" s="822"/>
      <c r="H58" s="1140">
        <v>20000</v>
      </c>
    </row>
    <row r="59" spans="1:8" ht="20.25" customHeight="1">
      <c r="A59" s="5"/>
      <c r="B59" s="2"/>
      <c r="C59" s="1139" t="s">
        <v>1716</v>
      </c>
      <c r="D59" s="1141">
        <v>20000</v>
      </c>
      <c r="E59" s="1142" t="s">
        <v>1717</v>
      </c>
      <c r="F59" s="831"/>
      <c r="G59" s="822"/>
      <c r="H59" s="1140">
        <v>20000</v>
      </c>
    </row>
    <row r="60" spans="1:8" ht="20.25" customHeight="1">
      <c r="A60" s="5"/>
      <c r="B60" s="2"/>
      <c r="C60" s="1139"/>
      <c r="D60" s="1145"/>
      <c r="E60" s="1146"/>
      <c r="F60" s="831"/>
      <c r="G60" s="822"/>
      <c r="H60" s="1147">
        <f>SUM(H49:H59)</f>
        <v>340000</v>
      </c>
    </row>
    <row r="61" spans="1:8" ht="20.25" customHeight="1">
      <c r="A61" s="5"/>
      <c r="B61" s="2"/>
      <c r="C61" s="5"/>
      <c r="D61" s="829"/>
      <c r="E61" s="830"/>
      <c r="F61" s="831"/>
      <c r="G61" s="822"/>
      <c r="H61" s="821"/>
    </row>
    <row r="62" spans="1:8" ht="20.25" customHeight="1">
      <c r="A62" s="5"/>
      <c r="B62" s="2">
        <v>10</v>
      </c>
      <c r="C62" s="2" t="s">
        <v>1726</v>
      </c>
      <c r="D62" s="829"/>
      <c r="E62" s="830"/>
      <c r="F62" s="831"/>
      <c r="G62" s="822"/>
      <c r="H62" s="821">
        <v>90000</v>
      </c>
    </row>
    <row r="63" spans="1:8" ht="20.25" customHeight="1">
      <c r="A63" s="5"/>
      <c r="B63" s="5"/>
      <c r="C63" s="5" t="s">
        <v>1807</v>
      </c>
      <c r="D63" s="19">
        <v>200</v>
      </c>
      <c r="E63" s="20">
        <v>450</v>
      </c>
      <c r="F63" s="21"/>
      <c r="G63" s="14"/>
      <c r="H63" s="8">
        <v>90000</v>
      </c>
    </row>
    <row r="64" spans="1:8" ht="20.25" customHeight="1">
      <c r="A64" s="5"/>
      <c r="B64" s="5"/>
      <c r="C64" s="5"/>
      <c r="D64" s="19"/>
      <c r="E64" s="20"/>
      <c r="F64" s="21"/>
      <c r="G64" s="14"/>
      <c r="H64" s="8"/>
    </row>
    <row r="65" spans="1:12" ht="20.25" customHeight="1">
      <c r="A65" s="5"/>
      <c r="B65" s="2">
        <v>11</v>
      </c>
      <c r="C65" s="2" t="s">
        <v>1042</v>
      </c>
      <c r="D65" s="829"/>
      <c r="E65" s="830"/>
      <c r="F65" s="830"/>
      <c r="G65" s="4"/>
      <c r="H65" s="821">
        <f>SUM(H66:H69)</f>
        <v>32500</v>
      </c>
    </row>
    <row r="66" spans="1:12" ht="20.25" customHeight="1">
      <c r="A66" s="5"/>
      <c r="B66" s="5"/>
      <c r="C66" s="22" t="s">
        <v>101</v>
      </c>
      <c r="D66" s="23">
        <v>500</v>
      </c>
      <c r="E66" s="24" t="s">
        <v>102</v>
      </c>
      <c r="F66" s="6"/>
      <c r="G66" s="25"/>
      <c r="H66" s="8">
        <v>5000</v>
      </c>
      <c r="L66" s="26"/>
    </row>
    <row r="67" spans="1:12" ht="20.25" customHeight="1">
      <c r="A67" s="5"/>
      <c r="B67" s="5"/>
      <c r="C67" s="22" t="s">
        <v>103</v>
      </c>
      <c r="D67" s="23">
        <v>600</v>
      </c>
      <c r="E67" s="24" t="s">
        <v>102</v>
      </c>
      <c r="F67" s="6"/>
      <c r="G67" s="25"/>
      <c r="H67" s="8">
        <f>600*10</f>
        <v>6000</v>
      </c>
      <c r="L67" s="26"/>
    </row>
    <row r="68" spans="1:12" ht="20.25" customHeight="1">
      <c r="A68" s="5"/>
      <c r="B68" s="5"/>
      <c r="C68" s="22" t="s">
        <v>104</v>
      </c>
      <c r="D68" s="23">
        <v>800</v>
      </c>
      <c r="E68" s="24" t="s">
        <v>105</v>
      </c>
      <c r="F68" s="6"/>
      <c r="G68" s="25"/>
      <c r="H68" s="8">
        <f>800*10</f>
        <v>8000</v>
      </c>
      <c r="L68" s="26"/>
    </row>
    <row r="69" spans="1:12" ht="20.25" customHeight="1">
      <c r="A69" s="5"/>
      <c r="B69" s="5"/>
      <c r="C69" s="22" t="s">
        <v>106</v>
      </c>
      <c r="D69" s="23">
        <v>900</v>
      </c>
      <c r="E69" s="24" t="s">
        <v>107</v>
      </c>
      <c r="F69" s="6"/>
      <c r="G69" s="25"/>
      <c r="H69" s="8">
        <f>900*15</f>
        <v>13500</v>
      </c>
      <c r="L69" s="26"/>
    </row>
    <row r="70" spans="1:12" ht="20.25" customHeight="1">
      <c r="A70" s="5"/>
      <c r="B70" s="5"/>
      <c r="C70" s="22"/>
      <c r="D70" s="23"/>
      <c r="E70" s="24"/>
      <c r="F70" s="6"/>
      <c r="G70" s="25"/>
      <c r="H70" s="821"/>
      <c r="L70" s="26"/>
    </row>
    <row r="71" spans="1:12" ht="20.25" customHeight="1">
      <c r="A71" s="5"/>
      <c r="B71" s="832">
        <v>13</v>
      </c>
      <c r="C71" s="27" t="s">
        <v>108</v>
      </c>
      <c r="D71" s="833"/>
      <c r="E71" s="834"/>
      <c r="F71" s="4"/>
      <c r="G71" s="819"/>
      <c r="H71" s="821">
        <v>4000</v>
      </c>
      <c r="L71" s="26"/>
    </row>
    <row r="72" spans="1:12" ht="20.25" customHeight="1">
      <c r="A72" s="720"/>
      <c r="B72" s="720"/>
      <c r="C72" s="721" t="s">
        <v>109</v>
      </c>
      <c r="D72" s="722"/>
      <c r="E72" s="723"/>
      <c r="F72" s="724"/>
      <c r="G72" s="725"/>
      <c r="H72" s="826">
        <f>H7+H23</f>
        <v>4500000</v>
      </c>
      <c r="J72" s="827"/>
      <c r="L72" s="26"/>
    </row>
    <row r="73" spans="1:12" ht="20.25" customHeight="1">
      <c r="A73" s="5"/>
      <c r="B73" s="5"/>
      <c r="C73" s="2"/>
      <c r="D73" s="3"/>
      <c r="E73" s="4"/>
      <c r="F73" s="4"/>
      <c r="G73" s="4"/>
      <c r="H73" s="29"/>
      <c r="J73" s="30"/>
    </row>
    <row r="74" spans="1:12">
      <c r="C74" s="31"/>
      <c r="J74" s="30"/>
    </row>
    <row r="75" spans="1:12">
      <c r="D75" s="34"/>
    </row>
    <row r="76" spans="1:12">
      <c r="D76" s="34"/>
    </row>
    <row r="77" spans="1:12">
      <c r="D77" s="34"/>
      <c r="E77" s="33" t="s">
        <v>110</v>
      </c>
    </row>
  </sheetData>
  <mergeCells count="4">
    <mergeCell ref="F5:G5"/>
    <mergeCell ref="A1:H1"/>
    <mergeCell ref="A2:H2"/>
    <mergeCell ref="A3:H3"/>
  </mergeCells>
  <pageMargins left="0.45" right="0.2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27</vt:i4>
      </vt:variant>
      <vt:variant>
        <vt:lpstr>ช่วงที่มีชื่อ</vt:lpstr>
      </vt:variant>
      <vt:variant>
        <vt:i4>2</vt:i4>
      </vt:variant>
    </vt:vector>
  </HeadingPairs>
  <TitlesOfParts>
    <vt:vector size="29" baseType="lpstr">
      <vt:lpstr>1.1</vt:lpstr>
      <vt:lpstr>1.2</vt:lpstr>
      <vt:lpstr>2.1</vt:lpstr>
      <vt:lpstr>2.2.1</vt:lpstr>
      <vt:lpstr>2.2.2</vt:lpstr>
      <vt:lpstr>2.3</vt:lpstr>
      <vt:lpstr>2.4</vt:lpstr>
      <vt:lpstr>3</vt:lpstr>
      <vt:lpstr>4.1</vt:lpstr>
      <vt:lpstr>4.2</vt:lpstr>
      <vt:lpstr>5</vt:lpstr>
      <vt:lpstr>6</vt:lpstr>
      <vt:lpstr>7.1.1</vt:lpstr>
      <vt:lpstr>7.1.2</vt:lpstr>
      <vt:lpstr>7.2.1</vt:lpstr>
      <vt:lpstr>7.2.2</vt:lpstr>
      <vt:lpstr>7.3.1</vt:lpstr>
      <vt:lpstr>7.3.2</vt:lpstr>
      <vt:lpstr>7.4.1</vt:lpstr>
      <vt:lpstr>7.4.2</vt:lpstr>
      <vt:lpstr>8.1</vt:lpstr>
      <vt:lpstr>8.2</vt:lpstr>
      <vt:lpstr>8.3</vt:lpstr>
      <vt:lpstr>8.4</vt:lpstr>
      <vt:lpstr>8.5</vt:lpstr>
      <vt:lpstr>8.6</vt:lpstr>
      <vt:lpstr>8.7</vt:lpstr>
      <vt:lpstr>'8.2'!Print_Area</vt:lpstr>
      <vt:lpstr>'8.5'!Print_Area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cp:lastPrinted>2017-02-17T03:43:23Z</cp:lastPrinted>
  <dcterms:created xsi:type="dcterms:W3CDTF">2017-01-23T02:19:04Z</dcterms:created>
  <dcterms:modified xsi:type="dcterms:W3CDTF">2017-05-04T04:30:05Z</dcterms:modified>
</cp:coreProperties>
</file>